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8460" windowHeight="5670" tabRatio="911" firstSheet="3" activeTab="5"/>
  </bookViews>
  <sheets>
    <sheet name="Quadro de Receitas" sheetId="1" r:id="rId1"/>
    <sheet name="Detalhes da Receita" sheetId="2" r:id="rId2"/>
    <sheet name="Quadro de Despesa" sheetId="3" r:id="rId3"/>
    <sheet name="Detalhes da Despesa" sheetId="4" r:id="rId4"/>
    <sheet name="Resultado Primário" sheetId="5" r:id="rId5"/>
    <sheet name="Resultado Nominal" sheetId="6" r:id="rId6"/>
    <sheet name="Montante da Dívida" sheetId="7" r:id="rId7"/>
    <sheet name="Demonst.I" sheetId="8" r:id="rId8"/>
    <sheet name="Demonst.II" sheetId="9" r:id="rId9"/>
    <sheet name="Demonst.III" sheetId="10" r:id="rId10"/>
    <sheet name="Demonst.IV" sheetId="11" r:id="rId11"/>
    <sheet name="Demonst.V" sheetId="12" r:id="rId12"/>
    <sheet name="Demonst.VII" sheetId="13" r:id="rId13"/>
    <sheet name="Demonst.VIII" sheetId="14" r:id="rId14"/>
    <sheet name="Riscos Fiscais" sheetId="15" r:id="rId15"/>
    <sheet name="Plan1" sheetId="16" r:id="rId16"/>
  </sheets>
  <externalReferences>
    <externalReference r:id="rId19"/>
  </externalReferences>
  <definedNames>
    <definedName name="_xlnm.Print_Area" localSheetId="9">'Demonst.III'!$A$1:$N$45</definedName>
    <definedName name="_xlnm.Print_Area" localSheetId="10">'Demonst.IV'!$A$1:$I$31</definedName>
    <definedName name="_xlnm.Print_Area" localSheetId="11">'Demonst.V'!$A$1:$H$45</definedName>
  </definedNames>
  <calcPr fullCalcOnLoad="1"/>
</workbook>
</file>

<file path=xl/sharedStrings.xml><?xml version="1.0" encoding="utf-8"?>
<sst xmlns="http://schemas.openxmlformats.org/spreadsheetml/2006/main" count="590" uniqueCount="278">
  <si>
    <t>ESPECIFICAÇÃO</t>
  </si>
  <si>
    <t>ARRECADADA</t>
  </si>
  <si>
    <t>ORÇADA</t>
  </si>
  <si>
    <t>PREVISÃO</t>
  </si>
  <si>
    <t>RECEITAS CORRENTES</t>
  </si>
  <si>
    <t xml:space="preserve"> Receita Tributária</t>
  </si>
  <si>
    <t xml:space="preserve"> Receita de Contribuição</t>
  </si>
  <si>
    <t xml:space="preserve"> Receita Patrimonial</t>
  </si>
  <si>
    <t xml:space="preserve"> Receita Agropecuária</t>
  </si>
  <si>
    <t xml:space="preserve"> Receita Industrial</t>
  </si>
  <si>
    <t xml:space="preserve"> Receita de Serviços</t>
  </si>
  <si>
    <t xml:space="preserve"> Transferências Correntes</t>
  </si>
  <si>
    <t xml:space="preserve"> Outras Receitas Correntes</t>
  </si>
  <si>
    <t xml:space="preserve"> Operações de Crédito</t>
  </si>
  <si>
    <t xml:space="preserve"> Alienação de Bens</t>
  </si>
  <si>
    <t xml:space="preserve"> Amortização de Empréstimos</t>
  </si>
  <si>
    <t xml:space="preserve"> Outras Receitas de Capital</t>
  </si>
  <si>
    <t xml:space="preserve"> Transferências de Capital</t>
  </si>
  <si>
    <t>Total</t>
  </si>
  <si>
    <t>RECEITAS DE CAPITAL</t>
  </si>
  <si>
    <t>%</t>
  </si>
  <si>
    <t>ESTADO DO RIO GRANDE DO NORTE</t>
  </si>
  <si>
    <t>LEI DE DIRETRIZES ORÇAMENTÁRIAS</t>
  </si>
  <si>
    <t>METODOLOGIA E MEMÓRIA DE DE CÁLCULO DAS METAS ANUAIS</t>
  </si>
  <si>
    <t>I - RECEITAS</t>
  </si>
  <si>
    <t>Art. 4º, §2º, Inciso II da LRF</t>
  </si>
  <si>
    <t>Prefeito Municipal</t>
  </si>
  <si>
    <t>Metas Anuais</t>
  </si>
  <si>
    <t>Valor Nominal - R$</t>
  </si>
  <si>
    <t>Variação %</t>
  </si>
  <si>
    <t>Nota:</t>
  </si>
  <si>
    <t>Receita de Contribuição</t>
  </si>
  <si>
    <t>Receita Tributárias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</si>
  <si>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</si>
  <si>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</si>
  <si>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</si>
  <si>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</si>
  <si>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</si>
  <si>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</si>
  <si>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Alienação de bens</t>
  </si>
  <si>
    <t>Transferências de Capital</t>
  </si>
  <si>
    <t>II - DESPESAS</t>
  </si>
  <si>
    <t>CATEGORIA ECONÔMICA E GRUPOS DE</t>
  </si>
  <si>
    <t>NATUREZA DE DESPESAS</t>
  </si>
  <si>
    <t>DESPESAS CORRENTES ( I )</t>
  </si>
  <si>
    <t xml:space="preserve"> Pessoal e Encargos Sociais</t>
  </si>
  <si>
    <t xml:space="preserve"> Juros e Encargos da Dívida</t>
  </si>
  <si>
    <t xml:space="preserve"> Outras Despesas Correntes</t>
  </si>
  <si>
    <t>DESPESAS DE CAPITAL ( II )</t>
  </si>
  <si>
    <t xml:space="preserve"> Investimentos</t>
  </si>
  <si>
    <t xml:space="preserve"> Inversões Financeiras</t>
  </si>
  <si>
    <t xml:space="preserve"> Transferência de Capital</t>
  </si>
  <si>
    <t xml:space="preserve"> Amortização da Dívida</t>
  </si>
  <si>
    <t>RESERVA DE CONTINGÊNCIA</t>
  </si>
  <si>
    <t>Pessoal e Encargos Sociais</t>
  </si>
  <si>
    <t>Juros e Encargos da Dívida</t>
  </si>
  <si>
    <t>Outras Despesas Correntes</t>
  </si>
  <si>
    <t>Investimentos</t>
  </si>
  <si>
    <t>Inversões Financeiras</t>
  </si>
  <si>
    <t>II.a - DESPESAS</t>
  </si>
  <si>
    <t>Amortização da Dívida</t>
  </si>
  <si>
    <t>III - RESULTADO PRIMÁRIO</t>
  </si>
  <si>
    <t>RECEITAS CORRENTES ( I )</t>
  </si>
  <si>
    <t>Receitas Tributárias</t>
  </si>
  <si>
    <t>Receitas de Contribuição</t>
  </si>
  <si>
    <t xml:space="preserve"> Aplicações Financeiras ( II )</t>
  </si>
  <si>
    <t xml:space="preserve"> Outras Receitas Patrimoniais</t>
  </si>
  <si>
    <t>RECEITAS FISCAIS CORRENTES ( III ) = ( I - II )</t>
  </si>
  <si>
    <t>RECEITAS DE CAPITAL ( IV )</t>
  </si>
  <si>
    <t>Operações de Crédito ( V )</t>
  </si>
  <si>
    <t>Alienação de Bens ( VI )</t>
  </si>
  <si>
    <t>Amortização de Empréstimos ( VII )</t>
  </si>
  <si>
    <t>Outras Receitas de Capital</t>
  </si>
  <si>
    <t>Receitas Fiscais de Capital ( VIII )= ( IV - V - VI - VII )</t>
  </si>
  <si>
    <t>RECEITAS  NÃO FINANCEIRAS (OU RECEITAS</t>
  </si>
  <si>
    <t>FISCAIS  LÍQUIDAS) ( IX ) = ( III + VIII )</t>
  </si>
  <si>
    <t>RECEITA TOTAL</t>
  </si>
  <si>
    <t>DESPESAS CORRENTES ( X )</t>
  </si>
  <si>
    <t>Juros e Encargos da Dívida ( XI )</t>
  </si>
  <si>
    <t>DESPESAS FISCAIS CORRENTES ( XII ) = ( X - XI)</t>
  </si>
  <si>
    <t>DESPESAS DE CAPITAL ( XIII )</t>
  </si>
  <si>
    <t>Amortização da Dívida ( XIV )</t>
  </si>
  <si>
    <t>DESPESAS FISCAIS DE CAPITAL ( XV ) = (XIII - XIV )</t>
  </si>
  <si>
    <t>RESERVA DE CONTIGÊNCIA ( XVI )</t>
  </si>
  <si>
    <t>DESPESAS NÃO-FINANCEIRAS (OU DESPESAS</t>
  </si>
  <si>
    <t>FISCAIS  LÍQUIDAS) ( XVII ) = ( XII + XV + XVI )</t>
  </si>
  <si>
    <t>DESPESA TOTAL</t>
  </si>
  <si>
    <t>RESULTADO PRIMÁRIO ( IX - XVIII )</t>
  </si>
  <si>
    <t>IV - RESULTADO NOMINAL</t>
  </si>
  <si>
    <t>(b)</t>
  </si>
  <si>
    <t>(d)</t>
  </si>
  <si>
    <t>(e)</t>
  </si>
  <si>
    <t>(f)</t>
  </si>
  <si>
    <t>(g)</t>
  </si>
  <si>
    <t>V - MONTANTE DA DÍVIDA PÚBLICA</t>
  </si>
  <si>
    <t>DÍVIDA CONSOLIDADA ( I )</t>
  </si>
  <si>
    <t xml:space="preserve"> Dívida Mobiliária</t>
  </si>
  <si>
    <t xml:space="preserve"> Outras Dívidas</t>
  </si>
  <si>
    <t>DEDUÇÕES ( II )</t>
  </si>
  <si>
    <t xml:space="preserve"> Ativo Disponível</t>
  </si>
  <si>
    <t xml:space="preserve"> Haveres Financeiros</t>
  </si>
  <si>
    <t xml:space="preserve"> ( - ) Restos a Pagar</t>
  </si>
  <si>
    <t>Dívida Consolidada Líquida</t>
  </si>
  <si>
    <t>Demonstrativo I - Metas Anuais</t>
  </si>
  <si>
    <t>Art. 4º, §1º da LRF</t>
  </si>
  <si>
    <t>Valor</t>
  </si>
  <si>
    <t>Corrente</t>
  </si>
  <si>
    <t>(a)</t>
  </si>
  <si>
    <t xml:space="preserve">Valor </t>
  </si>
  <si>
    <t>Constante</t>
  </si>
  <si>
    <t>% PIB</t>
  </si>
  <si>
    <t>(a/PIB)</t>
  </si>
  <si>
    <t>x 100</t>
  </si>
  <si>
    <t>Receita Total</t>
  </si>
  <si>
    <t xml:space="preserve">Receita Não-Financeira ( I ) </t>
  </si>
  <si>
    <t>Despesa Total</t>
  </si>
  <si>
    <t xml:space="preserve">Despesa Não-Financeira ( II ) </t>
  </si>
  <si>
    <t>Resultado Primário</t>
  </si>
  <si>
    <t>Resultado Nominal</t>
  </si>
  <si>
    <t>Dívida Pública Consolidada</t>
  </si>
  <si>
    <t xml:space="preserve"> - O cálculo das metas acima descritas foi realizado considerando-se o seguinte cenário macroeconômico:</t>
  </si>
  <si>
    <t>VARIÁVEIS</t>
  </si>
  <si>
    <t>PIB real (crescimento % anual)</t>
  </si>
  <si>
    <t>Taxa real e juro implícito sobre a dívida líquida do Governo (média % anual)</t>
  </si>
  <si>
    <t>Câmbio (R$/US$ - Final do Ano)</t>
  </si>
  <si>
    <t>Inflação média (% anual) projetada com base em índices oficiais de inflação</t>
  </si>
  <si>
    <t>Metodologia de Cálculo dos Valores Constantes:</t>
  </si>
  <si>
    <t>(R$)</t>
  </si>
  <si>
    <t>Demonstrativo II - Avaliação do Cumprimento das Metas Fiscais do Exercício Anterior</t>
  </si>
  <si>
    <t>Art. 4º, §2º, inciso I da LRF</t>
  </si>
  <si>
    <t>Metas Previstas</t>
  </si>
  <si>
    <t>Metas Realizadas</t>
  </si>
  <si>
    <t>Variação</t>
  </si>
  <si>
    <t>(c) = (b - a)</t>
  </si>
  <si>
    <t>(c/a) x 100</t>
  </si>
  <si>
    <t>VALOR</t>
  </si>
  <si>
    <t>DÍVIDA CONSOLIDADA LÍQUIDA ( III ) = ( I - II )</t>
  </si>
  <si>
    <t>PASSIVOS RECONHECIDOS ( V )</t>
  </si>
  <si>
    <t>DÌVIDA FISCAL LÍQUIDA ( IIII + IV -V )</t>
  </si>
  <si>
    <t>(b - a*)</t>
  </si>
  <si>
    <t>(c - b)</t>
  </si>
  <si>
    <t>(d - c)</t>
  </si>
  <si>
    <t>(e - d)</t>
  </si>
  <si>
    <t>(f - e)</t>
  </si>
  <si>
    <t>(g - f)</t>
  </si>
  <si>
    <t>EXECUTADA</t>
  </si>
  <si>
    <t>Especificação</t>
  </si>
  <si>
    <t>ANEXO DE METAS FISCAIS</t>
  </si>
  <si>
    <t>Demonstrativo III - Das Metas Fiscais Atuais Comparadas com as Fixadas nos Três Exercicios Anteriores</t>
  </si>
  <si>
    <t>VALORES A PREÇOS CORRENTES</t>
  </si>
  <si>
    <t>Receita Não Financeira ( I )</t>
  </si>
  <si>
    <t>Despesa Não Financeira ( II )</t>
  </si>
  <si>
    <t>Resultado Primário ( I - II )</t>
  </si>
  <si>
    <t>Dívida Líquida Consolidada</t>
  </si>
  <si>
    <t>Metodologia de Cálculos dos Valores Constantes</t>
  </si>
  <si>
    <t>INDICES DE INFLAÇÃO</t>
  </si>
  <si>
    <t>VALORES DE REFERÊNCIA</t>
  </si>
  <si>
    <t>* Inflação Média ( % anual) projetada com base no Índice Nacional de Preços ao Consumidor Amplo - IPCA, divulgado pelo IBGE.</t>
  </si>
  <si>
    <t>Demonstrativo IV - Evolução do Patrimônio Líquido</t>
  </si>
  <si>
    <t>PATRIMÔNIO LÍQUIDO</t>
  </si>
  <si>
    <t>Patrimônio/Capital</t>
  </si>
  <si>
    <t>Reservas</t>
  </si>
  <si>
    <t>Resultado Acumulado</t>
  </si>
  <si>
    <t>TOTAL</t>
  </si>
  <si>
    <t>Demonstrativo V - Origem e Aplicação dos Recursos Obtidos com Alienação de Ativos</t>
  </si>
  <si>
    <t>RECEITAS</t>
  </si>
  <si>
    <t>REALIZADAS</t>
  </si>
  <si>
    <t>RECEITA DE CAPITAL</t>
  </si>
  <si>
    <t xml:space="preserve"> Receita de Alienação de Ativos</t>
  </si>
  <si>
    <t xml:space="preserve">  Alienação de Bens Móveis</t>
  </si>
  <si>
    <t xml:space="preserve">  Alinação de Bens imóveis</t>
  </si>
  <si>
    <t xml:space="preserve">DESPESAS </t>
  </si>
  <si>
    <t>LIQUIDADAS</t>
  </si>
  <si>
    <t>APLICAÇÃO DOS RECURSOS DA ALIENAÇÃO DE ATIVOS</t>
  </si>
  <si>
    <t xml:space="preserve"> DESPESAS DE CAPITAL</t>
  </si>
  <si>
    <t xml:space="preserve">  Investimentos</t>
  </si>
  <si>
    <t xml:space="preserve">  Inversões Financeiras</t>
  </si>
  <si>
    <t xml:space="preserve">  Amortização da Dívida</t>
  </si>
  <si>
    <t xml:space="preserve"> DESPESAS CORRENTES DOS REGIMES DE PREVID.</t>
  </si>
  <si>
    <t xml:space="preserve">  Regime Geral de Previdência Social</t>
  </si>
  <si>
    <t xml:space="preserve">  Regime Próprio dos Servidores Públicos</t>
  </si>
  <si>
    <t>SALDO FINANCEIRO DO EXERCÍCIO ( III ) = ( I - II )</t>
  </si>
  <si>
    <t>(c)=(a-b)+(f)</t>
  </si>
  <si>
    <t>(f)=(d-e)+(g)</t>
  </si>
  <si>
    <t>Demonstrativo VII - Estimativa e Compensação da Renúncia de Receita</t>
  </si>
  <si>
    <t>SETOR / PROGRAMA /</t>
  </si>
  <si>
    <t>RENÚNCIA DE RECEITA PREVISTA</t>
  </si>
  <si>
    <t>COMPENSAÇÃO</t>
  </si>
  <si>
    <t>BENFICIÁRIO</t>
  </si>
  <si>
    <t>TRIBUTO/CONTRIBUIÇÃO</t>
  </si>
  <si>
    <t>Demonstrativo VIII - Margem de Expansão das Despesas</t>
  </si>
  <si>
    <t>EVENTO</t>
  </si>
  <si>
    <t xml:space="preserve"> Aumento Permanente da Receita</t>
  </si>
  <si>
    <t>( - ) Transferências Constitucionais</t>
  </si>
  <si>
    <t>Saldo Final do Aumento Permanente de Receita ( I )</t>
  </si>
  <si>
    <t>Redução Permanente de Despesas ( II )</t>
  </si>
  <si>
    <t>Margem Bruta ( III ) = ( I + II )</t>
  </si>
  <si>
    <t>Saldo Utilizado ( IV )</t>
  </si>
  <si>
    <t xml:space="preserve"> Impacto de Novas DOCC</t>
  </si>
  <si>
    <t>Margem Líquida de Expansão de DOCC ( III - IV )</t>
  </si>
  <si>
    <t>ANEXO DE RISCOS FISCAIS</t>
  </si>
  <si>
    <t>Art. 4º, §3º, da LRF</t>
  </si>
  <si>
    <t>IDENTIFICAÇÃO DOS RISCOS</t>
  </si>
  <si>
    <t>1. Passivos Contingentes</t>
  </si>
  <si>
    <t>2. Riscos Fiscais</t>
  </si>
  <si>
    <t>3. Eventos Fiscais Imprevistos</t>
  </si>
  <si>
    <t xml:space="preserve">     Soma</t>
  </si>
  <si>
    <t>( - )Restos a Pagar Processados</t>
  </si>
  <si>
    <t>Passivos Contingentes: obrigações em processos, ações trabalhistas, indenizações, desapropriações, etc.</t>
  </si>
  <si>
    <t>Riscos Fiscais: emergência, calamidade pública, frustrações de arrecadação prevista, despesas planejadas a menor.</t>
  </si>
  <si>
    <t>Eventos Fiscais Imprevistos: extinção de tributos, ocorrência imprevista em execução de obra, campanhas não previstas.</t>
  </si>
  <si>
    <t>Operações de Crédito</t>
  </si>
  <si>
    <t>Seguindo a linha de previsão utilizada para as demais receitas, foi previsto também para essa os</t>
  </si>
  <si>
    <t>vedação da Lei Complementar nº 101/2000,</t>
  </si>
  <si>
    <t>mesmos índices de correção.</t>
  </si>
  <si>
    <t xml:space="preserve">Nesse grupo de receitas estão previstos os Convênios, tanto os convênios com a União quanto </t>
  </si>
  <si>
    <t>com o Estado, obedecendo-se as previsões contidas no PPA do município.</t>
  </si>
  <si>
    <t>Esse grupo de despesas apresenta um aumento gradual baseado nos índices de inflação previstos</t>
  </si>
  <si>
    <t>para o período.</t>
  </si>
  <si>
    <t xml:space="preserve">Os recursos destinados a Reserva de Contingência apresenta uma variação baseada nas </t>
  </si>
  <si>
    <t xml:space="preserve">As correções dessa receita foram feitas prevendo um aumento gradual, de acordo com </t>
  </si>
  <si>
    <t>para os anos seguintas</t>
  </si>
  <si>
    <t xml:space="preserve">a fiscalização tributária no Município e obedecendo os índices de inflação previstos </t>
  </si>
  <si>
    <t>gradual  e constante baseados nos índices de inflação previstos para o período</t>
  </si>
  <si>
    <t>nos índices de inflação previstos.</t>
  </si>
  <si>
    <t>período previstos nesta Lei.</t>
  </si>
  <si>
    <t xml:space="preserve">             </t>
  </si>
  <si>
    <t>-</t>
  </si>
  <si>
    <t>Nesse grupo de receita, levando em consideração a arrecadação</t>
  </si>
  <si>
    <t>METODOLOGIA E MEMÓRIA DE  CÁLCULO DAS METAS ANUAIS</t>
  </si>
  <si>
    <t>METODOLOGIA E MEMÓRIA  DE  CÁLCULO DAS METAS ANUAIS</t>
  </si>
  <si>
    <t>METODOLOGIA E MEMÓRIA DE CÁLCULO DAS METAS ANUAIS</t>
  </si>
  <si>
    <t>de cada período.</t>
  </si>
  <si>
    <t xml:space="preserve">RECEITA DE PRIVATIZAÇÕES ( IV ) </t>
  </si>
  <si>
    <t>do exercício de 2009, observamos um aumento constante para os anos seguintes baseados</t>
  </si>
  <si>
    <t>levando em consideração a arrecadação do exercício de 2009, observamos um aumento</t>
  </si>
  <si>
    <t xml:space="preserve">Nesse grupo </t>
  </si>
  <si>
    <t>levando em consideração a arrecadação do exercício de 2009, observando um aumento</t>
  </si>
  <si>
    <t xml:space="preserve">do exercício de 2009, observamos um aumento baseados nos índices de inflação para o </t>
  </si>
  <si>
    <t>mesmos índices. Não foi prevista a arrecadação dessa receita para o ano de 2009, por expressa</t>
  </si>
  <si>
    <t xml:space="preserve">(b) </t>
  </si>
  <si>
    <t>(c)</t>
  </si>
  <si>
    <t xml:space="preserve"> - O cálculo das metas anuais relativos ao resultado nominal foi executado em conformidade com a metodologia estabelcida </t>
  </si>
  <si>
    <t>pelo governo federal nomatiza pela STN- Secretraia do Tesouro Nacional</t>
  </si>
  <si>
    <t>( - ) Tranferências ao FUNDEB</t>
  </si>
  <si>
    <t>Prefeitura Municipal de Lagoa Salgada</t>
  </si>
  <si>
    <t xml:space="preserve">           Alexandre José da Silva Freire</t>
  </si>
  <si>
    <t>Secretária Mun. de Adm. e Finanças</t>
  </si>
  <si>
    <t>Valor Corrente x 1,0688</t>
  </si>
  <si>
    <t xml:space="preserve"> </t>
  </si>
  <si>
    <t>Paulo Marques de Oliveira Junior</t>
  </si>
  <si>
    <t xml:space="preserve">Francisco Ronaldo da Silva </t>
  </si>
  <si>
    <t xml:space="preserve">Prefeitura Municipal de Bento Fernandes </t>
  </si>
  <si>
    <t>Prefeitura Municipal de Bento Fernandes</t>
  </si>
  <si>
    <t xml:space="preserve">           Paulo Marques de Oliveira Junior </t>
  </si>
  <si>
    <t xml:space="preserve">Paulo Marques de Oliveira Junior </t>
  </si>
  <si>
    <t xml:space="preserve">Paulo  Marques de Oliveira Junior </t>
  </si>
  <si>
    <t xml:space="preserve">Francisco Ronanldo da Silva </t>
  </si>
  <si>
    <t>Bento Fernandes/RN em 30 de maio de 2018</t>
  </si>
  <si>
    <t>Bento Fernandes/RN em  18  de maio de 2018</t>
  </si>
  <si>
    <t>Bento Fernandes/RN em 18 de maio de 2018</t>
  </si>
  <si>
    <t>Bento Fernandes/RN em 18  de Maio de 2018</t>
  </si>
  <si>
    <t>Bento Fernandes/RN em 18  de maio de 2018</t>
  </si>
  <si>
    <t>Bento Fernandes/RN em 18 de Maio de 2018</t>
  </si>
  <si>
    <t>Projeção do PIB do Estado - R$ milhares</t>
  </si>
  <si>
    <t>Valor Corrente/1,0395</t>
  </si>
  <si>
    <t>Valor Corrente/1,0400</t>
  </si>
  <si>
    <t>Valor Corrente/1,0365</t>
  </si>
  <si>
    <t>Bento Fernandes/RN em   18  de Maio de 2018</t>
  </si>
  <si>
    <t>Previsão do PIB Estadual para 2017</t>
  </si>
  <si>
    <t>Valor efetivo (realizado) do PIB Estadual para 2017</t>
  </si>
  <si>
    <t>PIB Estadual Previsto e Realizado para 2017</t>
  </si>
  <si>
    <t>Valor Corrente x 1,0534</t>
  </si>
  <si>
    <t>Valor Corrente x 1,0504</t>
  </si>
  <si>
    <t>Valor Corrente / 1,0395</t>
  </si>
  <si>
    <t>Valor Corrente / 1,0400</t>
  </si>
  <si>
    <t>Valor Corrente / 1,0365</t>
  </si>
  <si>
    <t>Bento Fernandes/RN em  18  de Maio de 2018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</si>
</sst>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24"/>
      <color indexed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2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right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171" fontId="0" fillId="0" borderId="11" xfId="64" applyFont="1" applyBorder="1" applyAlignment="1">
      <alignment/>
    </xf>
    <xf numFmtId="171" fontId="0" fillId="0" borderId="12" xfId="64" applyFont="1" applyBorder="1" applyAlignment="1">
      <alignment/>
    </xf>
    <xf numFmtId="0" fontId="5" fillId="0" borderId="0" xfId="0" applyFont="1" applyAlignment="1">
      <alignment/>
    </xf>
    <xf numFmtId="171" fontId="0" fillId="0" borderId="16" xfId="64" applyFont="1" applyBorder="1" applyAlignment="1">
      <alignment/>
    </xf>
    <xf numFmtId="171" fontId="1" fillId="0" borderId="10" xfId="64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39" fontId="0" fillId="0" borderId="12" xfId="64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4" fontId="1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/>
    </xf>
    <xf numFmtId="2" fontId="1" fillId="0" borderId="22" xfId="0" applyNumberFormat="1" applyFont="1" applyBorder="1" applyAlignment="1" applyProtection="1">
      <alignment/>
      <protection hidden="1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83" fontId="7" fillId="0" borderId="14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7" fillId="0" borderId="16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wrapText="1"/>
    </xf>
    <xf numFmtId="4" fontId="5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182" fontId="0" fillId="0" borderId="0" xfId="0" applyNumberFormat="1" applyAlignment="1">
      <alignment/>
    </xf>
    <xf numFmtId="171" fontId="0" fillId="0" borderId="18" xfId="64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1" fontId="0" fillId="0" borderId="12" xfId="64" applyFont="1" applyBorder="1" applyAlignment="1">
      <alignment horizontal="right"/>
    </xf>
    <xf numFmtId="171" fontId="9" fillId="0" borderId="10" xfId="64" applyFon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171" fontId="0" fillId="0" borderId="0" xfId="0" applyNumberFormat="1" applyAlignment="1">
      <alignment/>
    </xf>
    <xf numFmtId="39" fontId="0" fillId="0" borderId="18" xfId="64" applyNumberFormat="1" applyFont="1" applyBorder="1" applyAlignment="1">
      <alignment horizontal="right"/>
    </xf>
    <xf numFmtId="39" fontId="1" fillId="0" borderId="22" xfId="64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71" fontId="1" fillId="0" borderId="10" xfId="64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13" fillId="0" borderId="2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5" xfId="0" applyFont="1" applyBorder="1" applyAlignment="1">
      <alignment/>
    </xf>
    <xf numFmtId="183" fontId="5" fillId="0" borderId="21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5" fillId="0" borderId="18" xfId="0" applyNumberFormat="1" applyFont="1" applyBorder="1" applyAlignment="1">
      <alignment/>
    </xf>
    <xf numFmtId="183" fontId="5" fillId="0" borderId="15" xfId="0" applyNumberFormat="1" applyFont="1" applyBorder="1" applyAlignment="1">
      <alignment/>
    </xf>
    <xf numFmtId="183" fontId="5" fillId="0" borderId="18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/>
    </xf>
    <xf numFmtId="4" fontId="0" fillId="0" borderId="16" xfId="0" applyNumberForma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4" fontId="17" fillId="0" borderId="21" xfId="0" applyNumberFormat="1" applyFont="1" applyBorder="1" applyAlignment="1">
      <alignment horizontal="center"/>
    </xf>
    <xf numFmtId="4" fontId="17" fillId="0" borderId="21" xfId="0" applyNumberFormat="1" applyFont="1" applyBorder="1" applyAlignment="1">
      <alignment/>
    </xf>
    <xf numFmtId="178" fontId="17" fillId="0" borderId="21" xfId="0" applyNumberFormat="1" applyFont="1" applyBorder="1" applyAlignment="1">
      <alignment/>
    </xf>
    <xf numFmtId="171" fontId="17" fillId="0" borderId="21" xfId="0" applyNumberFormat="1" applyFont="1" applyBorder="1" applyAlignment="1">
      <alignment/>
    </xf>
    <xf numFmtId="178" fontId="17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4" fontId="17" fillId="0" borderId="12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178" fontId="17" fillId="0" borderId="12" xfId="0" applyNumberFormat="1" applyFont="1" applyBorder="1" applyAlignment="1">
      <alignment/>
    </xf>
    <xf numFmtId="171" fontId="17" fillId="0" borderId="0" xfId="0" applyNumberFormat="1" applyFont="1" applyBorder="1" applyAlignment="1">
      <alignment/>
    </xf>
    <xf numFmtId="178" fontId="17" fillId="0" borderId="17" xfId="0" applyNumberFormat="1" applyFont="1" applyBorder="1" applyAlignment="1">
      <alignment/>
    </xf>
    <xf numFmtId="171" fontId="17" fillId="0" borderId="17" xfId="0" applyNumberFormat="1" applyFont="1" applyBorder="1" applyAlignment="1">
      <alignment/>
    </xf>
    <xf numFmtId="0" fontId="17" fillId="0" borderId="12" xfId="0" applyFont="1" applyBorder="1" applyAlignment="1">
      <alignment/>
    </xf>
    <xf numFmtId="4" fontId="17" fillId="0" borderId="18" xfId="0" applyNumberFormat="1" applyFont="1" applyBorder="1" applyAlignment="1">
      <alignment/>
    </xf>
    <xf numFmtId="171" fontId="17" fillId="0" borderId="18" xfId="0" applyNumberFormat="1" applyFont="1" applyBorder="1" applyAlignment="1">
      <alignment/>
    </xf>
    <xf numFmtId="171" fontId="17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4" fontId="17" fillId="0" borderId="16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/>
    </xf>
    <xf numFmtId="178" fontId="17" fillId="0" borderId="16" xfId="0" applyNumberFormat="1" applyFont="1" applyBorder="1" applyAlignment="1">
      <alignment/>
    </xf>
    <xf numFmtId="171" fontId="17" fillId="0" borderId="16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4" fontId="17" fillId="0" borderId="11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8" fontId="17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82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71" fontId="17" fillId="0" borderId="12" xfId="64" applyFont="1" applyBorder="1" applyAlignment="1">
      <alignment/>
    </xf>
    <xf numFmtId="2" fontId="17" fillId="0" borderId="0" xfId="0" applyNumberFormat="1" applyFont="1" applyBorder="1" applyAlignment="1">
      <alignment/>
    </xf>
    <xf numFmtId="4" fontId="17" fillId="0" borderId="12" xfId="64" applyNumberFormat="1" applyFont="1" applyBorder="1" applyAlignment="1">
      <alignment/>
    </xf>
    <xf numFmtId="2" fontId="17" fillId="0" borderId="12" xfId="0" applyNumberFormat="1" applyFont="1" applyBorder="1" applyAlignment="1">
      <alignment/>
    </xf>
    <xf numFmtId="2" fontId="17" fillId="0" borderId="16" xfId="0" applyNumberFormat="1" applyFont="1" applyBorder="1" applyAlignment="1">
      <alignment/>
    </xf>
    <xf numFmtId="171" fontId="17" fillId="0" borderId="0" xfId="64" applyFont="1" applyAlignment="1">
      <alignment/>
    </xf>
    <xf numFmtId="4" fontId="11" fillId="0" borderId="10" xfId="64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" fontId="0" fillId="0" borderId="20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" fontId="1" fillId="0" borderId="11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70" fontId="1" fillId="0" borderId="19" xfId="47" applyFont="1" applyBorder="1" applyAlignment="1">
      <alignment horizontal="center" vertical="center"/>
    </xf>
    <xf numFmtId="170" fontId="1" fillId="0" borderId="14" xfId="47" applyFont="1" applyBorder="1" applyAlignment="1">
      <alignment horizontal="center" vertical="center"/>
    </xf>
    <xf numFmtId="170" fontId="1" fillId="0" borderId="21" xfId="47" applyFont="1" applyBorder="1" applyAlignment="1">
      <alignment horizontal="center" vertical="center"/>
    </xf>
    <xf numFmtId="170" fontId="1" fillId="0" borderId="20" xfId="47" applyFont="1" applyBorder="1" applyAlignment="1">
      <alignment horizontal="center" vertical="center"/>
    </xf>
    <xf numFmtId="170" fontId="1" fillId="0" borderId="13" xfId="47" applyFont="1" applyBorder="1" applyAlignment="1">
      <alignment horizontal="center" vertical="center"/>
    </xf>
    <xf numFmtId="170" fontId="1" fillId="0" borderId="15" xfId="47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2" fontId="15" fillId="0" borderId="10" xfId="0" applyNumberFormat="1" applyFont="1" applyBorder="1" applyAlignment="1">
      <alignment horizontal="center"/>
    </xf>
    <xf numFmtId="171" fontId="16" fillId="0" borderId="10" xfId="64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171" fontId="5" fillId="0" borderId="19" xfId="64" applyFont="1" applyBorder="1" applyAlignment="1">
      <alignment horizontal="center"/>
    </xf>
    <xf numFmtId="171" fontId="5" fillId="0" borderId="21" xfId="64" applyFont="1" applyBorder="1" applyAlignment="1">
      <alignment horizontal="center"/>
    </xf>
    <xf numFmtId="171" fontId="5" fillId="0" borderId="17" xfId="64" applyFont="1" applyBorder="1" applyAlignment="1">
      <alignment horizontal="center"/>
    </xf>
    <xf numFmtId="171" fontId="5" fillId="0" borderId="18" xfId="64" applyFont="1" applyBorder="1" applyAlignment="1">
      <alignment horizontal="center"/>
    </xf>
    <xf numFmtId="171" fontId="5" fillId="0" borderId="0" xfId="64" applyFont="1" applyBorder="1" applyAlignment="1">
      <alignment horizontal="center"/>
    </xf>
    <xf numFmtId="171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1" fontId="5" fillId="0" borderId="19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1" fontId="5" fillId="0" borderId="20" xfId="64" applyFont="1" applyBorder="1" applyAlignment="1">
      <alignment horizontal="center"/>
    </xf>
    <xf numFmtId="171" fontId="5" fillId="0" borderId="13" xfId="64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1" fontId="5" fillId="0" borderId="14" xfId="64" applyFont="1" applyBorder="1" applyAlignment="1">
      <alignment horizontal="center"/>
    </xf>
    <xf numFmtId="171" fontId="5" fillId="0" borderId="15" xfId="64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4" fillId="0" borderId="24" xfId="0" applyFont="1" applyBorder="1" applyAlignment="1">
      <alignment horizontal="left"/>
    </xf>
    <xf numFmtId="0" fontId="54" fillId="0" borderId="23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1" fontId="54" fillId="0" borderId="24" xfId="64" applyFont="1" applyBorder="1" applyAlignment="1">
      <alignment horizontal="center"/>
    </xf>
    <xf numFmtId="171" fontId="54" fillId="0" borderId="23" xfId="64" applyFont="1" applyBorder="1" applyAlignment="1">
      <alignment horizontal="center"/>
    </xf>
    <xf numFmtId="171" fontId="54" fillId="0" borderId="22" xfId="64" applyFont="1" applyBorder="1" applyAlignment="1">
      <alignment horizontal="center"/>
    </xf>
    <xf numFmtId="171" fontId="54" fillId="0" borderId="10" xfId="64" applyFont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4" xfId="51" applyFont="1" applyBorder="1" applyAlignment="1">
      <alignment horizontal="left"/>
      <protection/>
    </xf>
    <xf numFmtId="0" fontId="11" fillId="0" borderId="2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171" fontId="0" fillId="0" borderId="17" xfId="64" applyFont="1" applyBorder="1" applyAlignment="1">
      <alignment horizontal="center"/>
    </xf>
    <xf numFmtId="171" fontId="0" fillId="0" borderId="0" xfId="64" applyFont="1" applyBorder="1" applyAlignment="1">
      <alignment horizontal="center"/>
    </xf>
    <xf numFmtId="171" fontId="0" fillId="0" borderId="18" xfId="64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71" fontId="0" fillId="0" borderId="10" xfId="64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171" fontId="0" fillId="0" borderId="20" xfId="64" applyFont="1" applyBorder="1" applyAlignment="1">
      <alignment horizontal="right"/>
    </xf>
    <xf numFmtId="171" fontId="0" fillId="0" borderId="15" xfId="64" applyFont="1" applyBorder="1" applyAlignment="1">
      <alignment horizontal="right"/>
    </xf>
    <xf numFmtId="171" fontId="0" fillId="0" borderId="19" xfId="64" applyFont="1" applyBorder="1" applyAlignment="1">
      <alignment horizontal="right"/>
    </xf>
    <xf numFmtId="171" fontId="0" fillId="0" borderId="21" xfId="64" applyFont="1" applyBorder="1" applyAlignment="1">
      <alignment horizontal="right"/>
    </xf>
    <xf numFmtId="171" fontId="0" fillId="0" borderId="17" xfId="64" applyFont="1" applyBorder="1" applyAlignment="1">
      <alignment horizontal="right"/>
    </xf>
    <xf numFmtId="171" fontId="0" fillId="0" borderId="18" xfId="64" applyFont="1" applyBorder="1" applyAlignment="1">
      <alignment horizontal="righ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142875</xdr:rowOff>
    </xdr:from>
    <xdr:to>
      <xdr:col>1</xdr:col>
      <xdr:colOff>561975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0</xdr:col>
      <xdr:colOff>933450</xdr:colOff>
      <xdr:row>4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542925</xdr:colOff>
      <xdr:row>4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457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0</xdr:col>
      <xdr:colOff>571500</xdr:colOff>
      <xdr:row>4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114300</xdr:rowOff>
    </xdr:from>
    <xdr:to>
      <xdr:col>2</xdr:col>
      <xdr:colOff>123825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4300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0</xdr:col>
      <xdr:colOff>590550</xdr:colOff>
      <xdr:row>4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0</xdr:col>
      <xdr:colOff>571500</xdr:colOff>
      <xdr:row>4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1</xdr:col>
      <xdr:colOff>381000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</xdr:col>
      <xdr:colOff>495300</xdr:colOff>
      <xdr:row>4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171450</xdr:rowOff>
    </xdr:from>
    <xdr:to>
      <xdr:col>1</xdr:col>
      <xdr:colOff>485775</xdr:colOff>
      <xdr:row>4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171450</xdr:rowOff>
    </xdr:from>
    <xdr:to>
      <xdr:col>0</xdr:col>
      <xdr:colOff>600075</xdr:colOff>
      <xdr:row>4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38100</xdr:rowOff>
    </xdr:from>
    <xdr:to>
      <xdr:col>0</xdr:col>
      <xdr:colOff>590550</xdr:colOff>
      <xdr:row>4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171450</xdr:rowOff>
    </xdr:from>
    <xdr:to>
      <xdr:col>1</xdr:col>
      <xdr:colOff>571500</xdr:colOff>
      <xdr:row>4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190500</xdr:rowOff>
    </xdr:from>
    <xdr:to>
      <xdr:col>1</xdr:col>
      <xdr:colOff>28575</xdr:colOff>
      <xdr:row>4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0</xdr:col>
      <xdr:colOff>533400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ref.Lagoa%20Salgada\LDO%202014-LAGOA%20SALGADA\LDO%202014%20-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de Receitas"/>
      <sheetName val="Detalhes da Receita"/>
      <sheetName val="Quadro de Despesa"/>
      <sheetName val="Detalhes da Despesa"/>
      <sheetName val="Resultado Primário"/>
      <sheetName val="Resultado Nominal"/>
      <sheetName val="Montante da Dívida"/>
      <sheetName val="Demonst.I"/>
      <sheetName val="Demonst.II"/>
      <sheetName val="Demonst.III"/>
      <sheetName val="Demonst.IV"/>
      <sheetName val="Demonst.V"/>
      <sheetName val="Demonst.VII"/>
      <sheetName val="Demonst.VIII"/>
      <sheetName val="Riscos Fiscais"/>
    </sheetNames>
    <sheetDataSet>
      <sheetData sheetId="6">
        <row r="9">
          <cell r="I9">
            <v>648016.2030487501</v>
          </cell>
          <cell r="J9">
            <v>599414.9878200938</v>
          </cell>
          <cell r="K9">
            <v>554458.8637335867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view="pageBreakPreview" zoomScale="70" zoomScaleSheetLayoutView="70" zoomScalePageLayoutView="0" workbookViewId="0" topLeftCell="A1">
      <selection activeCell="G18" sqref="G18"/>
    </sheetView>
  </sheetViews>
  <sheetFormatPr defaultColWidth="9.140625" defaultRowHeight="12.75"/>
  <cols>
    <col min="1" max="1" width="0.2890625" style="0" customWidth="1"/>
    <col min="5" max="5" width="13.00390625" style="0" customWidth="1"/>
    <col min="6" max="6" width="14.57421875" style="0" customWidth="1"/>
    <col min="7" max="7" width="14.421875" style="0" customWidth="1"/>
    <col min="8" max="8" width="16.00390625" style="0" customWidth="1"/>
    <col min="9" max="11" width="16.57421875" style="0" customWidth="1"/>
  </cols>
  <sheetData>
    <row r="1" spans="3:10" ht="15.75">
      <c r="C1" s="173" t="s">
        <v>253</v>
      </c>
      <c r="D1" s="173"/>
      <c r="E1" s="173"/>
      <c r="F1" s="173"/>
      <c r="G1" s="173"/>
      <c r="H1" s="173"/>
      <c r="I1" s="173"/>
      <c r="J1" s="173"/>
    </row>
    <row r="2" spans="3:7" ht="12.75">
      <c r="C2" s="176" t="s">
        <v>21</v>
      </c>
      <c r="D2" s="176"/>
      <c r="E2" s="176"/>
      <c r="F2" s="176"/>
      <c r="G2" s="176"/>
    </row>
    <row r="3" spans="3:7" ht="12.75">
      <c r="C3" s="176" t="s">
        <v>22</v>
      </c>
      <c r="D3" s="176"/>
      <c r="E3" s="176"/>
      <c r="F3" s="176"/>
      <c r="G3" s="176"/>
    </row>
    <row r="4" spans="3:7" ht="12.75">
      <c r="C4" s="7" t="s">
        <v>229</v>
      </c>
      <c r="D4" s="7"/>
      <c r="E4" s="7"/>
      <c r="F4" s="7"/>
      <c r="G4" s="7"/>
    </row>
    <row r="5" spans="3:7" ht="12.75">
      <c r="C5" s="176" t="s">
        <v>24</v>
      </c>
      <c r="D5" s="176"/>
      <c r="E5" s="176"/>
      <c r="F5" s="176"/>
      <c r="G5" s="176"/>
    </row>
    <row r="6" spans="3:7" ht="12.75">
      <c r="C6" s="176" t="s">
        <v>25</v>
      </c>
      <c r="D6" s="176"/>
      <c r="E6" s="176"/>
      <c r="F6" s="176"/>
      <c r="G6" s="176"/>
    </row>
    <row r="7" spans="9:11" ht="12.75">
      <c r="I7" s="1"/>
      <c r="J7" s="1"/>
      <c r="K7" s="1"/>
    </row>
    <row r="8" spans="2:11" ht="12.75">
      <c r="B8" s="177" t="s">
        <v>0</v>
      </c>
      <c r="C8" s="177"/>
      <c r="D8" s="177"/>
      <c r="E8" s="184"/>
      <c r="F8" s="184" t="s">
        <v>1</v>
      </c>
      <c r="G8" s="185"/>
      <c r="H8" s="73" t="s">
        <v>2</v>
      </c>
      <c r="I8" s="177" t="s">
        <v>3</v>
      </c>
      <c r="J8" s="177"/>
      <c r="K8" s="177"/>
    </row>
    <row r="9" spans="2:11" ht="12.75">
      <c r="B9" s="177"/>
      <c r="C9" s="177"/>
      <c r="D9" s="177"/>
      <c r="E9" s="177"/>
      <c r="F9" s="103">
        <v>2016</v>
      </c>
      <c r="G9" s="103">
        <v>2017</v>
      </c>
      <c r="H9" s="103">
        <v>2018</v>
      </c>
      <c r="I9" s="32">
        <f>+H9+1</f>
        <v>2019</v>
      </c>
      <c r="J9" s="32">
        <f>+I9+1</f>
        <v>2020</v>
      </c>
      <c r="K9" s="32">
        <f>+J9+1</f>
        <v>2021</v>
      </c>
    </row>
    <row r="10" spans="2:11" ht="12.75">
      <c r="B10" s="178" t="s">
        <v>4</v>
      </c>
      <c r="C10" s="179"/>
      <c r="D10" s="179"/>
      <c r="E10" s="179"/>
      <c r="F10" s="4">
        <f aca="true" t="shared" si="0" ref="F10:K10">SUM(F11:F18)</f>
        <v>15843651.29</v>
      </c>
      <c r="G10" s="4">
        <f t="shared" si="0"/>
        <v>15927019.9</v>
      </c>
      <c r="H10" s="4">
        <f t="shared" si="0"/>
        <v>13338000</v>
      </c>
      <c r="I10" s="4">
        <f t="shared" si="0"/>
        <v>15410180</v>
      </c>
      <c r="J10" s="4">
        <f t="shared" si="0"/>
        <v>16488890.250000002</v>
      </c>
      <c r="K10" s="4">
        <f t="shared" si="0"/>
        <v>17643112.567500003</v>
      </c>
    </row>
    <row r="11" spans="2:11" ht="12.75">
      <c r="B11" s="169" t="s">
        <v>5</v>
      </c>
      <c r="C11" s="170"/>
      <c r="D11" s="170"/>
      <c r="E11" s="170"/>
      <c r="F11" s="5">
        <v>159058.37</v>
      </c>
      <c r="G11" s="5">
        <v>456848.35</v>
      </c>
      <c r="H11" s="5">
        <v>518300</v>
      </c>
      <c r="I11" s="5">
        <f>(H11*0.07)+H11</f>
        <v>554581</v>
      </c>
      <c r="J11" s="5">
        <f>(I11*0.07)+I11</f>
        <v>593401.67</v>
      </c>
      <c r="K11" s="5">
        <f>(J11*0.07)+J11</f>
        <v>634939.7869000001</v>
      </c>
    </row>
    <row r="12" spans="2:11" ht="12.75">
      <c r="B12" s="169" t="s">
        <v>6</v>
      </c>
      <c r="C12" s="170"/>
      <c r="D12" s="170"/>
      <c r="E12" s="170"/>
      <c r="F12" s="5">
        <v>28036.86</v>
      </c>
      <c r="G12" s="5">
        <v>0</v>
      </c>
      <c r="H12" s="5">
        <v>50000</v>
      </c>
      <c r="I12" s="5">
        <f aca="true" t="shared" si="1" ref="I12:K18">(H12*0.07)+H12</f>
        <v>53500</v>
      </c>
      <c r="J12" s="5">
        <f t="shared" si="1"/>
        <v>57245</v>
      </c>
      <c r="K12" s="5">
        <f t="shared" si="1"/>
        <v>61252.15</v>
      </c>
    </row>
    <row r="13" spans="2:11" ht="12.75">
      <c r="B13" s="169" t="s">
        <v>7</v>
      </c>
      <c r="C13" s="170"/>
      <c r="D13" s="170"/>
      <c r="E13" s="170"/>
      <c r="F13" s="5">
        <v>121807.94</v>
      </c>
      <c r="G13" s="5">
        <v>94011.27</v>
      </c>
      <c r="H13" s="5">
        <v>168500</v>
      </c>
      <c r="I13" s="5">
        <f t="shared" si="1"/>
        <v>180295</v>
      </c>
      <c r="J13" s="5">
        <f t="shared" si="1"/>
        <v>192915.65</v>
      </c>
      <c r="K13" s="5">
        <f t="shared" si="1"/>
        <v>206419.7455</v>
      </c>
    </row>
    <row r="14" spans="2:11" ht="12.75">
      <c r="B14" s="169" t="s">
        <v>8</v>
      </c>
      <c r="C14" s="170"/>
      <c r="D14" s="170"/>
      <c r="E14" s="170"/>
      <c r="F14" s="5">
        <v>0</v>
      </c>
      <c r="G14" s="5">
        <v>0</v>
      </c>
      <c r="H14" s="5"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</row>
    <row r="15" spans="2:11" ht="12.75">
      <c r="B15" s="169" t="s">
        <v>9</v>
      </c>
      <c r="C15" s="170"/>
      <c r="D15" s="170"/>
      <c r="E15" s="170"/>
      <c r="F15" s="5">
        <v>0</v>
      </c>
      <c r="G15" s="5">
        <v>0</v>
      </c>
      <c r="H15" s="5"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</row>
    <row r="16" spans="2:11" ht="12.75">
      <c r="B16" s="169" t="s">
        <v>10</v>
      </c>
      <c r="C16" s="170"/>
      <c r="D16" s="170"/>
      <c r="E16" s="170"/>
      <c r="F16" s="5">
        <v>0</v>
      </c>
      <c r="G16" s="5">
        <v>0</v>
      </c>
      <c r="H16" s="5"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</row>
    <row r="17" spans="2:11" ht="12.75">
      <c r="B17" s="169" t="s">
        <v>11</v>
      </c>
      <c r="C17" s="170"/>
      <c r="D17" s="170"/>
      <c r="E17" s="170"/>
      <c r="F17" s="5">
        <f>15498636.25</f>
        <v>15498636.25</v>
      </c>
      <c r="G17" s="5">
        <f>15359612.38</f>
        <v>15359612.38</v>
      </c>
      <c r="H17" s="5">
        <f>14231500-1682300</f>
        <v>12549200</v>
      </c>
      <c r="I17" s="5">
        <f>(H17*0.15)+H17+134584</f>
        <v>14566164</v>
      </c>
      <c r="J17" s="5">
        <f>(I17*0.07)+I17-2.35</f>
        <v>15585793.13</v>
      </c>
      <c r="K17" s="5">
        <f>(J17*0.07)+J17</f>
        <v>16676798.649100002</v>
      </c>
    </row>
    <row r="18" spans="2:11" ht="12.75">
      <c r="B18" s="169" t="s">
        <v>12</v>
      </c>
      <c r="C18" s="170"/>
      <c r="D18" s="170"/>
      <c r="E18" s="170"/>
      <c r="F18" s="5">
        <v>36111.87</v>
      </c>
      <c r="G18" s="5">
        <v>16547.9</v>
      </c>
      <c r="H18" s="5">
        <v>52000</v>
      </c>
      <c r="I18" s="5">
        <f t="shared" si="1"/>
        <v>55640</v>
      </c>
      <c r="J18" s="5">
        <f t="shared" si="1"/>
        <v>59534.8</v>
      </c>
      <c r="K18" s="5">
        <f>(J18*0.07)+J18</f>
        <v>63702.236000000004</v>
      </c>
    </row>
    <row r="19" spans="2:11" ht="12.75">
      <c r="B19" s="169" t="s">
        <v>19</v>
      </c>
      <c r="C19" s="170"/>
      <c r="D19" s="170"/>
      <c r="E19" s="170"/>
      <c r="F19" s="5">
        <f>F20+F21+F22+F23+F24</f>
        <v>941751.2</v>
      </c>
      <c r="G19" s="5">
        <f>SUM(G20:G24)</f>
        <v>4066.13</v>
      </c>
      <c r="H19" s="5">
        <f>SUM(H20:H24)</f>
        <v>12342000</v>
      </c>
      <c r="I19" s="5">
        <f>SUM(I20:I24)</f>
        <v>12067417.6</v>
      </c>
      <c r="J19" s="5">
        <f>SUM(J20:J24)</f>
        <v>12912139.151999999</v>
      </c>
      <c r="K19" s="5">
        <f>SUM(K20:K24)</f>
        <v>13356887.432639997</v>
      </c>
    </row>
    <row r="20" spans="2:11" ht="12.75">
      <c r="B20" s="169" t="s">
        <v>13</v>
      </c>
      <c r="C20" s="170"/>
      <c r="D20" s="170"/>
      <c r="E20" s="170"/>
      <c r="F20" s="5">
        <v>0</v>
      </c>
      <c r="G20" s="5">
        <v>0</v>
      </c>
      <c r="H20" s="5">
        <v>0</v>
      </c>
      <c r="I20" s="5">
        <f>(H20*0.07)+H20</f>
        <v>0</v>
      </c>
      <c r="J20" s="5">
        <f>(I20*0.07)+I20</f>
        <v>0</v>
      </c>
      <c r="K20" s="5">
        <f>(J20*0.07)+J20</f>
        <v>0</v>
      </c>
    </row>
    <row r="21" spans="2:11" ht="12.75">
      <c r="B21" s="169" t="s">
        <v>14</v>
      </c>
      <c r="C21" s="170"/>
      <c r="D21" s="170"/>
      <c r="E21" s="170"/>
      <c r="F21" s="5">
        <v>0</v>
      </c>
      <c r="G21" s="5">
        <v>0</v>
      </c>
      <c r="H21" s="5">
        <v>108000</v>
      </c>
      <c r="I21" s="5">
        <f aca="true" t="shared" si="2" ref="I21:K22">(H21*0.07)+H21</f>
        <v>115560</v>
      </c>
      <c r="J21" s="5">
        <f t="shared" si="2"/>
        <v>123649.2</v>
      </c>
      <c r="K21" s="5">
        <f t="shared" si="2"/>
        <v>132304.644</v>
      </c>
    </row>
    <row r="22" spans="2:11" ht="12.75">
      <c r="B22" s="169" t="s">
        <v>15</v>
      </c>
      <c r="C22" s="170"/>
      <c r="D22" s="170"/>
      <c r="E22" s="170"/>
      <c r="F22" s="5">
        <f>(E22*0.05)+E22</f>
        <v>0</v>
      </c>
      <c r="G22" s="5">
        <v>0</v>
      </c>
      <c r="H22" s="5">
        <v>0</v>
      </c>
      <c r="I22" s="5">
        <f t="shared" si="2"/>
        <v>0</v>
      </c>
      <c r="J22" s="5">
        <f t="shared" si="2"/>
        <v>0</v>
      </c>
      <c r="K22" s="5">
        <f t="shared" si="2"/>
        <v>0</v>
      </c>
    </row>
    <row r="23" spans="2:11" ht="12.75">
      <c r="B23" s="169" t="s">
        <v>17</v>
      </c>
      <c r="C23" s="170"/>
      <c r="D23" s="170"/>
      <c r="E23" s="170"/>
      <c r="F23" s="5">
        <v>941751.2</v>
      </c>
      <c r="G23" s="5">
        <v>4066.13</v>
      </c>
      <c r="H23" s="5">
        <v>12234000</v>
      </c>
      <c r="I23" s="5">
        <f>(H23*0.07)+H23-1138522.4</f>
        <v>11951857.6</v>
      </c>
      <c r="J23" s="5">
        <f>(I23*0.07)+I23+2.32</f>
        <v>12788489.952</v>
      </c>
      <c r="K23" s="5">
        <f>(J23*0.07)+J23-459101.46</f>
        <v>13224582.788639998</v>
      </c>
    </row>
    <row r="24" spans="2:11" ht="12.75">
      <c r="B24" s="169" t="s">
        <v>16</v>
      </c>
      <c r="C24" s="170"/>
      <c r="D24" s="170"/>
      <c r="E24" s="170"/>
      <c r="F24" s="5">
        <v>0</v>
      </c>
      <c r="G24" s="5">
        <v>0</v>
      </c>
      <c r="H24" s="5">
        <v>0</v>
      </c>
      <c r="I24" s="5">
        <f>(H24*0.07)+H24</f>
        <v>0</v>
      </c>
      <c r="J24" s="5">
        <f>(I24*0.07)+I24</f>
        <v>0</v>
      </c>
      <c r="K24" s="5">
        <f>(J24*0.07)+J24</f>
        <v>0</v>
      </c>
    </row>
    <row r="25" spans="2:11" ht="24" customHeight="1">
      <c r="B25" s="171" t="s">
        <v>18</v>
      </c>
      <c r="C25" s="172"/>
      <c r="D25" s="172"/>
      <c r="E25" s="172"/>
      <c r="F25" s="46">
        <f>SUM(F10+F19)</f>
        <v>16785402.49</v>
      </c>
      <c r="G25" s="46">
        <f>SUM(G10+G19)</f>
        <v>15931086.030000001</v>
      </c>
      <c r="H25" s="46">
        <f>H10+H19</f>
        <v>25680000</v>
      </c>
      <c r="I25" s="46">
        <f>SUM(I19+I10)</f>
        <v>27477597.6</v>
      </c>
      <c r="J25" s="46">
        <f>SUM(J19+J10)</f>
        <v>29401029.402000003</v>
      </c>
      <c r="K25" s="46">
        <f>SUM(K19+K10)</f>
        <v>31000000.00014</v>
      </c>
    </row>
    <row r="26" ht="12.75">
      <c r="H26" s="47"/>
    </row>
    <row r="27" spans="1:8" ht="12.75">
      <c r="A27" s="180" t="s">
        <v>259</v>
      </c>
      <c r="B27" s="176"/>
      <c r="C27" s="176"/>
      <c r="D27" s="176"/>
      <c r="E27" s="176"/>
      <c r="F27" s="176"/>
      <c r="G27" s="105"/>
      <c r="H27" s="106"/>
    </row>
    <row r="28" spans="7:8" ht="12.75">
      <c r="G28" s="47"/>
      <c r="H28" s="106"/>
    </row>
    <row r="29" ht="12.75">
      <c r="H29" s="47"/>
    </row>
    <row r="33" spans="2:11" ht="12.75">
      <c r="B33" s="174" t="s">
        <v>250</v>
      </c>
      <c r="C33" s="174"/>
      <c r="D33" s="174"/>
      <c r="E33" s="174"/>
      <c r="F33" s="174"/>
      <c r="G33" s="174"/>
      <c r="H33" s="174"/>
      <c r="I33" s="174" t="s">
        <v>251</v>
      </c>
      <c r="J33" s="175"/>
      <c r="K33" s="175"/>
    </row>
    <row r="34" spans="2:11" ht="12.75">
      <c r="B34" s="183" t="s">
        <v>26</v>
      </c>
      <c r="C34" s="183"/>
      <c r="D34" s="183"/>
      <c r="E34" s="183"/>
      <c r="F34" s="175"/>
      <c r="G34" s="175"/>
      <c r="H34" s="175"/>
      <c r="I34" s="181" t="s">
        <v>247</v>
      </c>
      <c r="J34" s="182"/>
      <c r="K34" s="182"/>
    </row>
  </sheetData>
  <sheetProtection/>
  <mergeCells count="31">
    <mergeCell ref="C5:G5"/>
    <mergeCell ref="C6:G6"/>
    <mergeCell ref="B12:E12"/>
    <mergeCell ref="F8:G8"/>
    <mergeCell ref="B8:E9"/>
    <mergeCell ref="B11:E11"/>
    <mergeCell ref="A27:F27"/>
    <mergeCell ref="I34:K34"/>
    <mergeCell ref="B34:E34"/>
    <mergeCell ref="F33:H33"/>
    <mergeCell ref="F34:H34"/>
    <mergeCell ref="B22:E22"/>
    <mergeCell ref="B24:E24"/>
    <mergeCell ref="B14:E14"/>
    <mergeCell ref="C1:J1"/>
    <mergeCell ref="I33:K33"/>
    <mergeCell ref="C2:G2"/>
    <mergeCell ref="C3:G3"/>
    <mergeCell ref="B13:E13"/>
    <mergeCell ref="B16:E16"/>
    <mergeCell ref="I8:K8"/>
    <mergeCell ref="B10:E10"/>
    <mergeCell ref="B33:E33"/>
    <mergeCell ref="B15:E15"/>
    <mergeCell ref="B17:E17"/>
    <mergeCell ref="B18:E18"/>
    <mergeCell ref="B23:E23"/>
    <mergeCell ref="B25:E25"/>
    <mergeCell ref="B19:E19"/>
    <mergeCell ref="B20:E20"/>
    <mergeCell ref="B21:E21"/>
  </mergeCells>
  <printOptions horizontalCentered="1"/>
  <pageMargins left="0.3937007874015748" right="0.3937007874015748" top="0.3937007874015748" bottom="0.984251968503937" header="0.5118110236220472" footer="0.5118110236220472"/>
  <pageSetup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45"/>
  <sheetViews>
    <sheetView view="pageBreakPreview" zoomScale="80" zoomScaleSheetLayoutView="80" zoomScalePageLayoutView="0" workbookViewId="0" topLeftCell="A28">
      <selection activeCell="D43" sqref="D43"/>
    </sheetView>
  </sheetViews>
  <sheetFormatPr defaultColWidth="14.00390625" defaultRowHeight="12.75"/>
  <cols>
    <col min="1" max="16384" width="14.00390625" style="120" customWidth="1"/>
  </cols>
  <sheetData>
    <row r="1" spans="2:9" ht="15">
      <c r="B1" s="357" t="s">
        <v>252</v>
      </c>
      <c r="C1" s="357"/>
      <c r="D1" s="357"/>
      <c r="E1" s="357"/>
      <c r="F1" s="357"/>
      <c r="G1" s="357"/>
      <c r="H1" s="357"/>
      <c r="I1" s="357"/>
    </row>
    <row r="2" spans="2:6" ht="14.25">
      <c r="B2" s="364" t="s">
        <v>21</v>
      </c>
      <c r="C2" s="364"/>
      <c r="D2" s="364"/>
      <c r="E2" s="364"/>
      <c r="F2" s="364"/>
    </row>
    <row r="3" spans="2:6" ht="14.25">
      <c r="B3" s="364" t="s">
        <v>22</v>
      </c>
      <c r="C3" s="364"/>
      <c r="D3" s="364"/>
      <c r="E3" s="364"/>
      <c r="F3" s="364"/>
    </row>
    <row r="4" spans="2:8" ht="14.25">
      <c r="B4" s="364" t="s">
        <v>147</v>
      </c>
      <c r="C4" s="364"/>
      <c r="D4" s="364"/>
      <c r="E4" s="364"/>
      <c r="F4" s="364"/>
      <c r="G4" s="364"/>
      <c r="H4" s="364"/>
    </row>
    <row r="5" spans="2:11" ht="14.25">
      <c r="B5" s="364" t="s">
        <v>148</v>
      </c>
      <c r="C5" s="364"/>
      <c r="D5" s="364"/>
      <c r="E5" s="364"/>
      <c r="F5" s="364"/>
      <c r="G5" s="364"/>
      <c r="H5" s="364"/>
      <c r="I5" s="364"/>
      <c r="J5" s="364"/>
      <c r="K5" s="364"/>
    </row>
    <row r="6" spans="2:6" ht="14.25">
      <c r="B6" s="364" t="s">
        <v>25</v>
      </c>
      <c r="C6" s="364"/>
      <c r="D6" s="364"/>
      <c r="E6" s="364"/>
      <c r="F6" s="364"/>
    </row>
    <row r="8" spans="1:14" ht="15">
      <c r="A8" s="356" t="s">
        <v>0</v>
      </c>
      <c r="B8" s="365"/>
      <c r="C8" s="365"/>
      <c r="D8" s="356" t="s">
        <v>149</v>
      </c>
      <c r="E8" s="356"/>
      <c r="F8" s="356"/>
      <c r="G8" s="356"/>
      <c r="H8" s="356"/>
      <c r="I8" s="356"/>
      <c r="J8" s="356"/>
      <c r="K8" s="356"/>
      <c r="L8" s="356"/>
      <c r="M8" s="356"/>
      <c r="N8" s="356"/>
    </row>
    <row r="9" spans="1:14" ht="15">
      <c r="A9" s="365"/>
      <c r="B9" s="365"/>
      <c r="C9" s="365"/>
      <c r="D9" s="122">
        <v>2016</v>
      </c>
      <c r="E9" s="122">
        <v>2017</v>
      </c>
      <c r="F9" s="122" t="s">
        <v>20</v>
      </c>
      <c r="G9" s="122">
        <v>2018</v>
      </c>
      <c r="H9" s="122" t="s">
        <v>20</v>
      </c>
      <c r="I9" s="122">
        <f>+G9+1</f>
        <v>2019</v>
      </c>
      <c r="J9" s="122" t="s">
        <v>20</v>
      </c>
      <c r="K9" s="122">
        <f>+I9+1</f>
        <v>2020</v>
      </c>
      <c r="L9" s="122" t="s">
        <v>20</v>
      </c>
      <c r="M9" s="122">
        <f>+K9+1</f>
        <v>2021</v>
      </c>
      <c r="N9" s="122" t="s">
        <v>20</v>
      </c>
    </row>
    <row r="10" spans="1:14" ht="14.25">
      <c r="A10" s="358" t="s">
        <v>113</v>
      </c>
      <c r="B10" s="359"/>
      <c r="C10" s="360"/>
      <c r="D10" s="123">
        <f>'Resultado Primário'!F30</f>
        <v>16785402.49</v>
      </c>
      <c r="E10" s="124">
        <f>'Demonst.II'!G11</f>
        <v>15931086.030000001</v>
      </c>
      <c r="F10" s="125">
        <f>((D10-E10)/E10*100)</f>
        <v>5.36257514642269</v>
      </c>
      <c r="G10" s="124">
        <f>'Resultado Primário'!H30</f>
        <v>25680000</v>
      </c>
      <c r="H10" s="125">
        <f>((G10-E10)/E10)*100</f>
        <v>61.19428362662603</v>
      </c>
      <c r="I10" s="124">
        <f>'Demonst.I'!E12</f>
        <v>27477597.6</v>
      </c>
      <c r="J10" s="125">
        <f>((I10-G10)/G10)*100</f>
        <v>6.999990654205614</v>
      </c>
      <c r="K10" s="126">
        <f>'Demonst.I'!J12</f>
        <v>29401029.402000003</v>
      </c>
      <c r="L10" s="127">
        <f>((K10-I10)/I11)*100</f>
        <v>7.029563478123431</v>
      </c>
      <c r="M10" s="126">
        <f>'Demonst.I'!O12</f>
        <v>31000000.00014</v>
      </c>
      <c r="N10" s="128">
        <f>((M10-K10)/K10)*100</f>
        <v>5.438485082536694</v>
      </c>
    </row>
    <row r="11" spans="1:14" ht="14.25">
      <c r="A11" s="361" t="s">
        <v>150</v>
      </c>
      <c r="B11" s="362"/>
      <c r="C11" s="363"/>
      <c r="D11" s="132">
        <f>'Resultado Primário'!F28</f>
        <v>16785402.49</v>
      </c>
      <c r="E11" s="133">
        <f>'Demonst.II'!G12</f>
        <v>15931086.030000001</v>
      </c>
      <c r="F11" s="125">
        <f>((D11-E11)/E11*100)</f>
        <v>5.36257514642269</v>
      </c>
      <c r="G11" s="133">
        <f>'Resultado Primário'!H28</f>
        <v>25572000</v>
      </c>
      <c r="H11" s="134">
        <f>((G11-E11)/E11)*100</f>
        <v>60.516363742215</v>
      </c>
      <c r="I11" s="133">
        <f>'Demonst.I'!E13</f>
        <v>27362037.6</v>
      </c>
      <c r="J11" s="134">
        <f>((I11-G11)/G11)*100</f>
        <v>6.999990614734871</v>
      </c>
      <c r="K11" s="135">
        <f>'Demonst.I'!J13</f>
        <v>29277380.202000003</v>
      </c>
      <c r="L11" s="136">
        <f>((K11-I11)/I12)*100</f>
        <v>6.970560635912368</v>
      </c>
      <c r="M11" s="137">
        <f>'Demonst.I'!O13</f>
        <v>30867695.35614</v>
      </c>
      <c r="N11" s="138">
        <f>((M11-K11)/K11)*100</f>
        <v>5.431890227771669</v>
      </c>
    </row>
    <row r="12" spans="1:14" ht="14.25">
      <c r="A12" s="361" t="s">
        <v>115</v>
      </c>
      <c r="B12" s="362"/>
      <c r="C12" s="363"/>
      <c r="D12" s="132">
        <f>'Resultado Primário'!F45</f>
        <v>14876318.420000002</v>
      </c>
      <c r="E12" s="139">
        <f>'Demonst.II'!G13</f>
        <v>15655077.069999998</v>
      </c>
      <c r="F12" s="125">
        <f aca="true" t="shared" si="0" ref="F12:F17">((D12-E12)/E12*100)</f>
        <v>-4.9744798222190845</v>
      </c>
      <c r="G12" s="139">
        <f>'Resultado Primário'!H45</f>
        <v>25680000</v>
      </c>
      <c r="H12" s="134">
        <f aca="true" t="shared" si="1" ref="H12:H17">((G12-E12)/E12)*100</f>
        <v>64.03624131120297</v>
      </c>
      <c r="I12" s="139">
        <f>'Demonst.I'!E14</f>
        <v>27477597.6</v>
      </c>
      <c r="J12" s="134">
        <f aca="true" t="shared" si="2" ref="J12:J17">((I12-G12)/G12)*100</f>
        <v>6.999990654205614</v>
      </c>
      <c r="K12" s="140">
        <f>'Demonst.I'!J14</f>
        <v>29401029.402000003</v>
      </c>
      <c r="L12" s="134">
        <f>((K12-I12)/I13)*100</f>
        <v>7.10365819447828</v>
      </c>
      <c r="M12" s="141">
        <f>'Demonst.I'!O14</f>
        <v>31000000.000140004</v>
      </c>
      <c r="N12" s="138">
        <f aca="true" t="shared" si="3" ref="N12:N17">((M12-K12)/K12)*100</f>
        <v>5.438485082536707</v>
      </c>
    </row>
    <row r="13" spans="1:14" ht="14.25">
      <c r="A13" s="361" t="s">
        <v>151</v>
      </c>
      <c r="B13" s="362"/>
      <c r="C13" s="363"/>
      <c r="D13" s="132">
        <f>'Resultado Primário'!F43</f>
        <v>14513603.05</v>
      </c>
      <c r="E13" s="139">
        <f>'Demonst.II'!G14</f>
        <v>15428839.95</v>
      </c>
      <c r="F13" s="125">
        <f t="shared" si="0"/>
        <v>-5.93198777721457</v>
      </c>
      <c r="G13" s="139">
        <f>'Resultado Primário'!H43</f>
        <v>25505269</v>
      </c>
      <c r="H13" s="134">
        <f t="shared" si="1"/>
        <v>65.3090516374175</v>
      </c>
      <c r="I13" s="139">
        <f>'Demonst.I'!E15</f>
        <v>27076637.830000002</v>
      </c>
      <c r="J13" s="134">
        <f t="shared" si="2"/>
        <v>6.160957682900745</v>
      </c>
      <c r="K13" s="140">
        <f>'Demonst.I'!J15</f>
        <v>28972000.128100004</v>
      </c>
      <c r="L13" s="134">
        <f>((K13-I13)/I13)*100</f>
        <v>6.999991320931303</v>
      </c>
      <c r="M13" s="141">
        <f>'Demonst.I'!O15</f>
        <v>30540938.677067004</v>
      </c>
      <c r="N13" s="138">
        <f t="shared" si="3"/>
        <v>5.4153615284755</v>
      </c>
    </row>
    <row r="14" spans="1:14" ht="14.25">
      <c r="A14" s="361" t="s">
        <v>152</v>
      </c>
      <c r="B14" s="362"/>
      <c r="C14" s="363"/>
      <c r="D14" s="132">
        <f>D11-D13</f>
        <v>2271799.4399999976</v>
      </c>
      <c r="E14" s="139">
        <f>'Demonst.II'!G15</f>
        <v>502246.08000000194</v>
      </c>
      <c r="F14" s="125">
        <f t="shared" si="0"/>
        <v>352.32795843822</v>
      </c>
      <c r="G14" s="139">
        <f>G11-G13</f>
        <v>66731</v>
      </c>
      <c r="H14" s="134">
        <f>((G14-E14)/E14)*100</f>
        <v>-86.71348515054618</v>
      </c>
      <c r="I14" s="139">
        <f>'Demonst.I'!E16</f>
        <v>285399.7700000033</v>
      </c>
      <c r="J14" s="134">
        <f t="shared" si="2"/>
        <v>327.68693710569795</v>
      </c>
      <c r="K14" s="140">
        <f>'Demonst.I'!J16</f>
        <v>305380.07389999926</v>
      </c>
      <c r="L14" s="134">
        <f>((K14-I14)/I15)*100</f>
        <v>-0.157892409210321</v>
      </c>
      <c r="M14" s="141">
        <f>'Demonst.I'!O16</f>
        <v>326756.67907299846</v>
      </c>
      <c r="N14" s="138">
        <f t="shared" si="3"/>
        <v>6.999999999999757</v>
      </c>
    </row>
    <row r="15" spans="1:14" ht="14.25">
      <c r="A15" s="361" t="s">
        <v>118</v>
      </c>
      <c r="B15" s="362"/>
      <c r="C15" s="363"/>
      <c r="D15" s="132">
        <f>'Resultado Nominal'!E21</f>
        <v>12565993.73</v>
      </c>
      <c r="E15" s="139">
        <f>'Demonst.II'!G16</f>
        <v>961860.6199999973</v>
      </c>
      <c r="F15" s="125">
        <f t="shared" si="0"/>
        <v>1206.425636803806</v>
      </c>
      <c r="G15" s="139">
        <f>'Resultado Nominal'!G21</f>
        <v>-1468742.2809999995</v>
      </c>
      <c r="H15" s="134">
        <v>0</v>
      </c>
      <c r="I15" s="139">
        <f>'Demonst.I'!E17</f>
        <v>-12654379.016651249</v>
      </c>
      <c r="J15" s="134">
        <f t="shared" si="2"/>
        <v>761.5792695799198</v>
      </c>
      <c r="K15" s="140">
        <f>'Demonst.I'!J17</f>
        <v>-40229.746158656315</v>
      </c>
      <c r="L15" s="134">
        <f>((K15-I15)/I16)*100</f>
        <v>1946.579300200559</v>
      </c>
      <c r="M15" s="140">
        <f>'Demonst.I'!L17</f>
        <v>-38682.448229477224</v>
      </c>
      <c r="N15" s="142">
        <v>-8939</v>
      </c>
    </row>
    <row r="16" spans="1:14" ht="14.25">
      <c r="A16" s="361" t="s">
        <v>119</v>
      </c>
      <c r="B16" s="362"/>
      <c r="C16" s="363"/>
      <c r="D16" s="132">
        <f>'Resultado Nominal'!E10</f>
        <v>14699798.39</v>
      </c>
      <c r="E16" s="139">
        <f>'Demonst.II'!G17</f>
        <v>14790774.28</v>
      </c>
      <c r="F16" s="125">
        <f t="shared" si="0"/>
        <v>-0.6150853787486691</v>
      </c>
      <c r="G16" s="139">
        <f>'Resultado Nominal'!G10</f>
        <v>13311696.852</v>
      </c>
      <c r="H16" s="134">
        <f t="shared" si="1"/>
        <v>-9.999999999999996</v>
      </c>
      <c r="I16" s="139">
        <f>'Demonst.I'!E18</f>
        <v>648016.2030487501</v>
      </c>
      <c r="J16" s="134">
        <f t="shared" si="2"/>
        <v>-95.13197896366314</v>
      </c>
      <c r="K16" s="140">
        <f>'Demonst.I'!J18</f>
        <v>599414.9878200938</v>
      </c>
      <c r="L16" s="134">
        <f>((K16-I16)/I17)*100</f>
        <v>-8.612632460679947</v>
      </c>
      <c r="M16" s="141">
        <f>'Demonst.I'!O18</f>
        <v>554458.8637335867</v>
      </c>
      <c r="N16" s="138">
        <f t="shared" si="3"/>
        <v>-7.499999999999997</v>
      </c>
    </row>
    <row r="17" spans="1:14" ht="14.25">
      <c r="A17" s="366" t="s">
        <v>153</v>
      </c>
      <c r="B17" s="367"/>
      <c r="C17" s="368"/>
      <c r="D17" s="143">
        <f>'Resultado Nominal'!E18</f>
        <v>13725562.190000001</v>
      </c>
      <c r="E17" s="144">
        <f>'Demonst.II'!G18</f>
        <v>14687422.809999999</v>
      </c>
      <c r="F17" s="125">
        <f t="shared" si="0"/>
        <v>-6.548872681360478</v>
      </c>
      <c r="G17" s="144">
        <f>'Resultado Nominal'!G18</f>
        <v>13218680.529</v>
      </c>
      <c r="H17" s="145">
        <f t="shared" si="1"/>
        <v>-9.999999999999998</v>
      </c>
      <c r="I17" s="144">
        <f>'Demonst.I'!E19</f>
        <v>564301.51234875</v>
      </c>
      <c r="J17" s="145">
        <f t="shared" si="2"/>
        <v>-95.7310299533244</v>
      </c>
      <c r="K17" s="146">
        <f>'Demonst.I'!J19</f>
        <v>524071.7661900937</v>
      </c>
      <c r="L17" s="145">
        <f>((K17-I17)/I17)*100</f>
        <v>-7.129122513106699</v>
      </c>
      <c r="M17" s="146">
        <f>'Demonst.I'!O19</f>
        <v>486649.9642665867</v>
      </c>
      <c r="N17" s="147">
        <f t="shared" si="3"/>
        <v>-7.140587289324264</v>
      </c>
    </row>
    <row r="18" spans="1:3" ht="14.25">
      <c r="A18" s="148"/>
      <c r="B18" s="148"/>
      <c r="C18" s="148"/>
    </row>
    <row r="19" spans="1:14" ht="15">
      <c r="A19" s="356" t="s">
        <v>0</v>
      </c>
      <c r="B19" s="365"/>
      <c r="C19" s="365"/>
      <c r="D19" s="356" t="s">
        <v>149</v>
      </c>
      <c r="E19" s="356"/>
      <c r="F19" s="356"/>
      <c r="G19" s="356"/>
      <c r="H19" s="356"/>
      <c r="I19" s="356"/>
      <c r="J19" s="356"/>
      <c r="K19" s="356"/>
      <c r="L19" s="356"/>
      <c r="M19" s="356"/>
      <c r="N19" s="356"/>
    </row>
    <row r="20" spans="1:14" ht="15">
      <c r="A20" s="365"/>
      <c r="B20" s="365"/>
      <c r="C20" s="365"/>
      <c r="D20" s="149">
        <f>+D9</f>
        <v>2016</v>
      </c>
      <c r="E20" s="122">
        <f>+E9</f>
        <v>2017</v>
      </c>
      <c r="F20" s="122" t="s">
        <v>20</v>
      </c>
      <c r="G20" s="122">
        <f>+G9</f>
        <v>2018</v>
      </c>
      <c r="H20" s="122" t="s">
        <v>20</v>
      </c>
      <c r="I20" s="122">
        <f>+I9</f>
        <v>2019</v>
      </c>
      <c r="J20" s="122" t="s">
        <v>20</v>
      </c>
      <c r="K20" s="122">
        <f>+K9</f>
        <v>2020</v>
      </c>
      <c r="L20" s="122" t="s">
        <v>20</v>
      </c>
      <c r="M20" s="122">
        <f>+M9</f>
        <v>2021</v>
      </c>
      <c r="N20" s="122" t="s">
        <v>20</v>
      </c>
    </row>
    <row r="21" spans="1:14" ht="14.25">
      <c r="A21" s="358" t="s">
        <v>113</v>
      </c>
      <c r="B21" s="359"/>
      <c r="C21" s="359"/>
      <c r="D21" s="150">
        <f>D10*1.0455</f>
        <v>17549138.303295</v>
      </c>
      <c r="E21" s="124">
        <v>16351122.6</v>
      </c>
      <c r="F21" s="125">
        <f>((D21-E21)/E21*100)</f>
        <v>7.3268101071849445</v>
      </c>
      <c r="G21" s="124">
        <f>G10*1</f>
        <v>25680000</v>
      </c>
      <c r="H21" s="125">
        <f>((G21-E21)/E21)*100</f>
        <v>57.053436808063566</v>
      </c>
      <c r="I21" s="124">
        <f>'Demonst.I'!G12</f>
        <v>26433475.324675325</v>
      </c>
      <c r="J21" s="125">
        <f>((I21-G21)/G21)*100</f>
        <v>2.9340939434397404</v>
      </c>
      <c r="K21" s="124">
        <f>'Demonst.I'!L12</f>
        <v>28270220.578846157</v>
      </c>
      <c r="L21" s="127">
        <f aca="true" t="shared" si="4" ref="L21:L28">((K21-I21)/I21)*100</f>
        <v>6.94855758318034</v>
      </c>
      <c r="M21" s="124">
        <f>'Demonst.I'!Q12</f>
        <v>29908345.393285096</v>
      </c>
      <c r="N21" s="127">
        <f>((M21-K21)/K21)*100</f>
        <v>5.794524347166586</v>
      </c>
    </row>
    <row r="22" spans="1:14" ht="14.25">
      <c r="A22" s="361" t="s">
        <v>150</v>
      </c>
      <c r="B22" s="362"/>
      <c r="C22" s="362"/>
      <c r="D22" s="151">
        <v>4046047.99</v>
      </c>
      <c r="E22" s="151">
        <v>15970677.34</v>
      </c>
      <c r="F22" s="125">
        <f aca="true" t="shared" si="5" ref="F22:F28">((D22-E22)/E22*100)</f>
        <v>-74.66577087581435</v>
      </c>
      <c r="G22" s="152">
        <f>G11*1</f>
        <v>25572000</v>
      </c>
      <c r="H22" s="136">
        <f>((G22-E22)/E22)*100</f>
        <v>60.11844366771234</v>
      </c>
      <c r="I22" s="152">
        <f>'Demonst.I'!G13</f>
        <v>26322306.49350649</v>
      </c>
      <c r="J22" s="136">
        <f>((I22-G22)/G22)*100</f>
        <v>2.934093905468838</v>
      </c>
      <c r="K22" s="152">
        <f>'Demonst.I'!L13</f>
        <v>28151327.117307693</v>
      </c>
      <c r="L22" s="136">
        <f t="shared" si="4"/>
        <v>6.948557582719459</v>
      </c>
      <c r="M22" s="152">
        <f>'Demonst.I'!Q13</f>
        <v>29780699.812966716</v>
      </c>
      <c r="N22" s="134">
        <f>((M22-K22)/K22)*100</f>
        <v>5.787907223234494</v>
      </c>
    </row>
    <row r="23" spans="1:14" ht="14.25">
      <c r="A23" s="361" t="s">
        <v>115</v>
      </c>
      <c r="B23" s="362"/>
      <c r="C23" s="362"/>
      <c r="D23" s="151">
        <f>D12*1.0455</f>
        <v>15553190.908110004</v>
      </c>
      <c r="E23" s="151">
        <v>14091373.4</v>
      </c>
      <c r="F23" s="125">
        <f t="shared" si="5"/>
        <v>10.373846938936438</v>
      </c>
      <c r="G23" s="151">
        <f>G12*1</f>
        <v>25680000</v>
      </c>
      <c r="H23" s="134">
        <f aca="true" t="shared" si="6" ref="H23:H28">((G23-E23)/E23)*100</f>
        <v>82.23915633376092</v>
      </c>
      <c r="I23" s="151">
        <f>'Demonst.I'!G14</f>
        <v>26433475.324675325</v>
      </c>
      <c r="J23" s="134">
        <f aca="true" t="shared" si="7" ref="J23:J28">((I23-G23)/G23)*100</f>
        <v>2.9340939434397404</v>
      </c>
      <c r="K23" s="151">
        <f>'Demonst.I'!L14</f>
        <v>28270220.578846157</v>
      </c>
      <c r="L23" s="134">
        <f t="shared" si="4"/>
        <v>6.94855758318034</v>
      </c>
      <c r="M23" s="151">
        <f>'Demonst.I'!Q14</f>
        <v>29908345.3932851</v>
      </c>
      <c r="N23" s="134">
        <f aca="true" t="shared" si="8" ref="N23:N28">((M23-K23)/K23)*100</f>
        <v>5.7945243471665995</v>
      </c>
    </row>
    <row r="24" spans="1:14" ht="14.25">
      <c r="A24" s="361" t="s">
        <v>151</v>
      </c>
      <c r="B24" s="362"/>
      <c r="C24" s="362"/>
      <c r="D24" s="151">
        <v>4006474.99</v>
      </c>
      <c r="E24" s="151">
        <v>13574809.35</v>
      </c>
      <c r="F24" s="125">
        <f t="shared" si="5"/>
        <v>-70.48595757994937</v>
      </c>
      <c r="G24" s="151">
        <f>G13*1</f>
        <v>25505269</v>
      </c>
      <c r="H24" s="134">
        <f t="shared" si="6"/>
        <v>87.88675658269926</v>
      </c>
      <c r="I24" s="151">
        <f>'Demonst.I'!G15</f>
        <v>26047751.640211638</v>
      </c>
      <c r="J24" s="134">
        <f t="shared" si="7"/>
        <v>2.126943417893919</v>
      </c>
      <c r="K24" s="151">
        <f>'Demonst.I'!L15</f>
        <v>27857692.43086539</v>
      </c>
      <c r="L24" s="134">
        <f t="shared" si="4"/>
        <v>6.948549017411641</v>
      </c>
      <c r="M24" s="151">
        <f>'Demonst.I'!Q15</f>
        <v>29465449.76079788</v>
      </c>
      <c r="N24" s="134">
        <f t="shared" si="8"/>
        <v>5.771322710674884</v>
      </c>
    </row>
    <row r="25" spans="1:14" ht="14.25">
      <c r="A25" s="361" t="s">
        <v>152</v>
      </c>
      <c r="B25" s="362"/>
      <c r="C25" s="362"/>
      <c r="D25" s="151">
        <f>D22-D24</f>
        <v>39573</v>
      </c>
      <c r="E25" s="151">
        <f>E22-E24</f>
        <v>2395867.99</v>
      </c>
      <c r="F25" s="125">
        <f t="shared" si="5"/>
        <v>-98.3482812840619</v>
      </c>
      <c r="G25" s="151">
        <v>54668.07</v>
      </c>
      <c r="H25" s="134">
        <f t="shared" si="6"/>
        <v>-97.7182353022714</v>
      </c>
      <c r="I25" s="151">
        <v>72567.59</v>
      </c>
      <c r="J25" s="134">
        <f t="shared" si="7"/>
        <v>32.742183874426146</v>
      </c>
      <c r="K25" s="151">
        <v>57488.41</v>
      </c>
      <c r="L25" s="134">
        <f t="shared" si="4"/>
        <v>-20.779496742278468</v>
      </c>
      <c r="M25" s="151">
        <f>'Demonst.I'!Q16</f>
        <v>315250.05216883594</v>
      </c>
      <c r="N25" s="134">
        <f t="shared" si="8"/>
        <v>448.37149291280787</v>
      </c>
    </row>
    <row r="26" spans="1:14" ht="14.25">
      <c r="A26" s="361" t="s">
        <v>118</v>
      </c>
      <c r="B26" s="362"/>
      <c r="C26" s="362"/>
      <c r="D26" s="151">
        <v>0</v>
      </c>
      <c r="E26" s="151">
        <f>E15*1</f>
        <v>961860.6199999973</v>
      </c>
      <c r="F26" s="125">
        <f t="shared" si="5"/>
        <v>-100</v>
      </c>
      <c r="G26" s="151">
        <v>-45614.94</v>
      </c>
      <c r="H26" s="134">
        <v>0</v>
      </c>
      <c r="I26" s="151">
        <v>-39789.99</v>
      </c>
      <c r="J26" s="134">
        <f t="shared" si="7"/>
        <v>-12.76982935853912</v>
      </c>
      <c r="K26" s="151">
        <v>-34736.53</v>
      </c>
      <c r="L26" s="134">
        <f t="shared" si="4"/>
        <v>-12.700329907094723</v>
      </c>
      <c r="M26" s="151">
        <f>'Demonst.I'!N17</f>
        <v>-5.136914532165781E-05</v>
      </c>
      <c r="N26" s="134">
        <v>-12.7</v>
      </c>
    </row>
    <row r="27" spans="1:14" ht="14.25">
      <c r="A27" s="361" t="s">
        <v>119</v>
      </c>
      <c r="B27" s="362"/>
      <c r="C27" s="362"/>
      <c r="D27" s="151">
        <f>D16*1.0455</f>
        <v>15368639.216745002</v>
      </c>
      <c r="E27" s="151">
        <v>265380.38</v>
      </c>
      <c r="F27" s="125">
        <f t="shared" si="5"/>
        <v>5691.173867768597</v>
      </c>
      <c r="G27" s="151">
        <v>234816.2</v>
      </c>
      <c r="H27" s="134">
        <f t="shared" si="6"/>
        <v>-11.517121197882071</v>
      </c>
      <c r="I27" s="151">
        <v>208107.5</v>
      </c>
      <c r="J27" s="134">
        <f t="shared" si="7"/>
        <v>-11.374300410278341</v>
      </c>
      <c r="K27" s="151">
        <v>184549.8</v>
      </c>
      <c r="L27" s="134">
        <f t="shared" si="4"/>
        <v>-11.319966844058966</v>
      </c>
      <c r="M27" s="151">
        <f>'Demonst.I'!Q18</f>
        <v>534933.7807366973</v>
      </c>
      <c r="N27" s="134">
        <f t="shared" si="8"/>
        <v>189.85877022716758</v>
      </c>
    </row>
    <row r="28" spans="1:14" ht="14.25">
      <c r="A28" s="366" t="s">
        <v>153</v>
      </c>
      <c r="B28" s="367"/>
      <c r="C28" s="367"/>
      <c r="D28" s="144">
        <f>D17*1.0455</f>
        <v>14350075.269645004</v>
      </c>
      <c r="E28" s="144">
        <v>543203.63</v>
      </c>
      <c r="F28" s="153">
        <f t="shared" si="5"/>
        <v>2541.748780221701</v>
      </c>
      <c r="G28" s="144">
        <v>473998.26</v>
      </c>
      <c r="H28" s="145">
        <f t="shared" si="6"/>
        <v>-12.740225981184992</v>
      </c>
      <c r="I28" s="144">
        <v>414355.17</v>
      </c>
      <c r="J28" s="145">
        <f t="shared" si="7"/>
        <v>-12.582976570420326</v>
      </c>
      <c r="K28" s="144">
        <v>362507.06</v>
      </c>
      <c r="L28" s="145">
        <f t="shared" si="4"/>
        <v>-12.51296321462575</v>
      </c>
      <c r="M28" s="144">
        <f>'Demonst.I'!Q19</f>
        <v>469512.7489306191</v>
      </c>
      <c r="N28" s="145">
        <f t="shared" si="8"/>
        <v>29.518235846391267</v>
      </c>
    </row>
    <row r="30" ht="15">
      <c r="A30" s="154" t="s">
        <v>30</v>
      </c>
    </row>
    <row r="31" spans="1:5" ht="14.25">
      <c r="A31" s="364" t="s">
        <v>154</v>
      </c>
      <c r="B31" s="364"/>
      <c r="C31" s="364"/>
      <c r="D31" s="364"/>
      <c r="E31" s="364"/>
    </row>
    <row r="33" spans="1:12" ht="15">
      <c r="A33" s="356" t="s">
        <v>155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</row>
    <row r="34" spans="1:12" ht="15">
      <c r="A34" s="356">
        <v>2016</v>
      </c>
      <c r="B34" s="356"/>
      <c r="C34" s="370">
        <v>2017</v>
      </c>
      <c r="D34" s="371"/>
      <c r="E34" s="356">
        <v>2018</v>
      </c>
      <c r="F34" s="356"/>
      <c r="G34" s="356">
        <v>2019</v>
      </c>
      <c r="H34" s="356"/>
      <c r="I34" s="356">
        <v>2020</v>
      </c>
      <c r="J34" s="356"/>
      <c r="K34" s="356">
        <v>2021</v>
      </c>
      <c r="L34" s="356"/>
    </row>
    <row r="35" spans="1:12" ht="14.25">
      <c r="A35" s="372">
        <v>6.88</v>
      </c>
      <c r="B35" s="373"/>
      <c r="C35" s="372">
        <v>5.34</v>
      </c>
      <c r="D35" s="373"/>
      <c r="E35" s="372">
        <v>5.04</v>
      </c>
      <c r="F35" s="373"/>
      <c r="G35" s="372">
        <v>3.95</v>
      </c>
      <c r="H35" s="373"/>
      <c r="I35" s="372">
        <v>4</v>
      </c>
      <c r="J35" s="373"/>
      <c r="K35" s="372">
        <v>3.65</v>
      </c>
      <c r="L35" s="373"/>
    </row>
    <row r="36" spans="1:12" ht="15">
      <c r="A36" s="356" t="s">
        <v>156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</row>
    <row r="37" spans="1:12" ht="15">
      <c r="A37" s="356" t="s">
        <v>248</v>
      </c>
      <c r="B37" s="356"/>
      <c r="C37" s="370" t="s">
        <v>272</v>
      </c>
      <c r="D37" s="371"/>
      <c r="E37" s="356" t="s">
        <v>273</v>
      </c>
      <c r="F37" s="356"/>
      <c r="G37" s="356" t="s">
        <v>274</v>
      </c>
      <c r="H37" s="356"/>
      <c r="I37" s="356" t="s">
        <v>275</v>
      </c>
      <c r="J37" s="356"/>
      <c r="K37" s="356" t="s">
        <v>276</v>
      </c>
      <c r="L37" s="356"/>
    </row>
    <row r="38" spans="1:12" ht="14.25">
      <c r="A38" s="369" t="s">
        <v>157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</row>
    <row r="39" spans="2:12" ht="14.25">
      <c r="B39" s="155"/>
      <c r="J39" s="155"/>
      <c r="L39" s="155"/>
    </row>
    <row r="40" spans="1:8" ht="14.25">
      <c r="A40" s="364" t="s">
        <v>261</v>
      </c>
      <c r="B40" s="364"/>
      <c r="C40" s="364"/>
      <c r="D40" s="364"/>
      <c r="E40" s="364"/>
      <c r="F40" s="364"/>
      <c r="G40" s="148"/>
      <c r="H40" s="120" t="s">
        <v>226</v>
      </c>
    </row>
    <row r="41" spans="1:5" ht="14.25">
      <c r="A41" s="121"/>
      <c r="B41" s="121"/>
      <c r="C41" s="121"/>
      <c r="D41" s="121"/>
      <c r="E41" s="121"/>
    </row>
    <row r="42" spans="2:5" ht="14.25">
      <c r="B42" s="121"/>
      <c r="C42" s="121"/>
      <c r="D42" s="121"/>
      <c r="E42" s="121"/>
    </row>
    <row r="44" spans="1:16" ht="15">
      <c r="A44" s="377" t="s">
        <v>255</v>
      </c>
      <c r="B44" s="377"/>
      <c r="C44" s="377"/>
      <c r="D44" s="377"/>
      <c r="E44" s="377"/>
      <c r="F44" s="156"/>
      <c r="G44" s="156"/>
      <c r="H44" s="374" t="s">
        <v>251</v>
      </c>
      <c r="I44" s="374"/>
      <c r="J44" s="374"/>
      <c r="K44" s="374"/>
      <c r="L44" s="374"/>
      <c r="N44" s="374"/>
      <c r="O44" s="375"/>
      <c r="P44" s="375"/>
    </row>
    <row r="45" spans="1:16" ht="14.25">
      <c r="A45" s="376" t="s">
        <v>26</v>
      </c>
      <c r="B45" s="376"/>
      <c r="C45" s="376"/>
      <c r="D45" s="376"/>
      <c r="E45" s="375"/>
      <c r="F45" s="375"/>
      <c r="G45" s="375"/>
      <c r="H45" s="375" t="s">
        <v>247</v>
      </c>
      <c r="I45" s="375"/>
      <c r="J45" s="375"/>
      <c r="K45" s="375"/>
      <c r="L45" s="375"/>
      <c r="N45" s="375"/>
      <c r="O45" s="375"/>
      <c r="P45" s="375"/>
    </row>
  </sheetData>
  <sheetProtection/>
  <mergeCells count="56">
    <mergeCell ref="I37:J37"/>
    <mergeCell ref="N44:P44"/>
    <mergeCell ref="A45:D45"/>
    <mergeCell ref="E45:G45"/>
    <mergeCell ref="N45:P45"/>
    <mergeCell ref="H44:L44"/>
    <mergeCell ref="H45:L45"/>
    <mergeCell ref="A44:E44"/>
    <mergeCell ref="A40:F40"/>
    <mergeCell ref="K37:L37"/>
    <mergeCell ref="I35:J35"/>
    <mergeCell ref="K35:L35"/>
    <mergeCell ref="A35:B35"/>
    <mergeCell ref="C35:D35"/>
    <mergeCell ref="E35:F35"/>
    <mergeCell ref="G35:H35"/>
    <mergeCell ref="A38:L38"/>
    <mergeCell ref="A36:L36"/>
    <mergeCell ref="E34:F34"/>
    <mergeCell ref="G34:H34"/>
    <mergeCell ref="I34:J34"/>
    <mergeCell ref="K34:L34"/>
    <mergeCell ref="A34:B34"/>
    <mergeCell ref="C34:D34"/>
    <mergeCell ref="A37:B37"/>
    <mergeCell ref="C37:D37"/>
    <mergeCell ref="A33:L33"/>
    <mergeCell ref="A23:C23"/>
    <mergeCell ref="A24:C24"/>
    <mergeCell ref="A25:C25"/>
    <mergeCell ref="A26:C26"/>
    <mergeCell ref="A27:C27"/>
    <mergeCell ref="A28:C28"/>
    <mergeCell ref="A31:E31"/>
    <mergeCell ref="A21:C21"/>
    <mergeCell ref="A16:C16"/>
    <mergeCell ref="A17:C17"/>
    <mergeCell ref="A19:C20"/>
    <mergeCell ref="A14:C14"/>
    <mergeCell ref="A22:C22"/>
    <mergeCell ref="B5:K5"/>
    <mergeCell ref="B2:F2"/>
    <mergeCell ref="B3:F3"/>
    <mergeCell ref="B4:H4"/>
    <mergeCell ref="D19:N19"/>
    <mergeCell ref="A15:C15"/>
    <mergeCell ref="E37:F37"/>
    <mergeCell ref="G37:H37"/>
    <mergeCell ref="B1:I1"/>
    <mergeCell ref="A10:C10"/>
    <mergeCell ref="A11:C11"/>
    <mergeCell ref="B6:F6"/>
    <mergeCell ref="A8:C9"/>
    <mergeCell ref="D8:N8"/>
    <mergeCell ref="A12:C12"/>
    <mergeCell ref="A13:C1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115" zoomScaleSheetLayoutView="115" zoomScalePageLayoutView="0" workbookViewId="0" topLeftCell="B16">
      <selection activeCell="A17" sqref="A17:F17"/>
    </sheetView>
  </sheetViews>
  <sheetFormatPr defaultColWidth="8.8515625" defaultRowHeight="12.75"/>
  <cols>
    <col min="1" max="2" width="8.8515625" style="120" customWidth="1"/>
    <col min="3" max="3" width="8.28125" style="120" customWidth="1"/>
    <col min="4" max="4" width="17.140625" style="120" customWidth="1"/>
    <col min="5" max="5" width="6.7109375" style="120" customWidth="1"/>
    <col min="6" max="6" width="18.7109375" style="120" customWidth="1"/>
    <col min="7" max="7" width="11.140625" style="120" customWidth="1"/>
    <col min="8" max="8" width="17.421875" style="120" customWidth="1"/>
    <col min="9" max="9" width="9.421875" style="120" customWidth="1"/>
    <col min="10" max="10" width="12.8515625" style="120" bestFit="1" customWidth="1"/>
    <col min="11" max="16384" width="8.8515625" style="120" customWidth="1"/>
  </cols>
  <sheetData>
    <row r="1" spans="2:9" ht="15">
      <c r="B1" s="357" t="s">
        <v>252</v>
      </c>
      <c r="C1" s="357"/>
      <c r="D1" s="357"/>
      <c r="E1" s="357"/>
      <c r="F1" s="357"/>
      <c r="G1" s="357"/>
      <c r="H1" s="357"/>
      <c r="I1" s="357"/>
    </row>
    <row r="2" spans="2:6" ht="14.25">
      <c r="B2" s="364" t="s">
        <v>21</v>
      </c>
      <c r="C2" s="364"/>
      <c r="D2" s="364"/>
      <c r="E2" s="364"/>
      <c r="F2" s="364"/>
    </row>
    <row r="3" spans="2:6" ht="14.25">
      <c r="B3" s="364" t="s">
        <v>22</v>
      </c>
      <c r="C3" s="364"/>
      <c r="D3" s="364"/>
      <c r="E3" s="364"/>
      <c r="F3" s="364"/>
    </row>
    <row r="4" spans="2:8" ht="14.25">
      <c r="B4" s="364" t="s">
        <v>147</v>
      </c>
      <c r="C4" s="364"/>
      <c r="D4" s="364"/>
      <c r="E4" s="364"/>
      <c r="F4" s="364"/>
      <c r="G4" s="364"/>
      <c r="H4" s="364"/>
    </row>
    <row r="5" spans="2:11" ht="14.25">
      <c r="B5" s="364" t="s">
        <v>158</v>
      </c>
      <c r="C5" s="364"/>
      <c r="D5" s="364"/>
      <c r="E5" s="364"/>
      <c r="F5" s="364"/>
      <c r="G5" s="364"/>
      <c r="H5" s="364"/>
      <c r="I5" s="364"/>
      <c r="J5" s="364"/>
      <c r="K5" s="364"/>
    </row>
    <row r="6" spans="2:6" ht="14.25">
      <c r="B6" s="364" t="s">
        <v>25</v>
      </c>
      <c r="C6" s="364"/>
      <c r="D6" s="364"/>
      <c r="E6" s="364"/>
      <c r="F6" s="364"/>
    </row>
    <row r="9" spans="1:9" ht="19.5" customHeight="1">
      <c r="A9" s="356" t="s">
        <v>159</v>
      </c>
      <c r="B9" s="356"/>
      <c r="C9" s="356"/>
      <c r="D9" s="122">
        <v>2017</v>
      </c>
      <c r="E9" s="122" t="s">
        <v>20</v>
      </c>
      <c r="F9" s="122">
        <v>2016</v>
      </c>
      <c r="G9" s="122" t="s">
        <v>20</v>
      </c>
      <c r="H9" s="122">
        <v>2015</v>
      </c>
      <c r="I9" s="122" t="s">
        <v>20</v>
      </c>
    </row>
    <row r="10" spans="1:9" ht="15">
      <c r="A10" s="157"/>
      <c r="B10" s="158"/>
      <c r="C10" s="159"/>
      <c r="D10" s="160"/>
      <c r="E10" s="158"/>
      <c r="F10" s="149"/>
      <c r="G10" s="158"/>
      <c r="H10" s="149"/>
      <c r="I10" s="149"/>
    </row>
    <row r="11" spans="1:9" ht="14.25">
      <c r="A11" s="361" t="s">
        <v>160</v>
      </c>
      <c r="B11" s="362"/>
      <c r="C11" s="363"/>
      <c r="D11" s="161">
        <v>14305557.1</v>
      </c>
      <c r="E11" s="162">
        <v>0</v>
      </c>
      <c r="F11" s="161">
        <v>14118547.07</v>
      </c>
      <c r="G11" s="162">
        <v>0</v>
      </c>
      <c r="H11" s="163">
        <v>13279899.66</v>
      </c>
      <c r="I11" s="164">
        <v>0</v>
      </c>
    </row>
    <row r="12" spans="1:9" ht="14.25">
      <c r="A12" s="361" t="s">
        <v>161</v>
      </c>
      <c r="B12" s="362"/>
      <c r="C12" s="363"/>
      <c r="D12" s="164">
        <v>0</v>
      </c>
      <c r="E12" s="162">
        <v>0</v>
      </c>
      <c r="F12" s="164">
        <v>0</v>
      </c>
      <c r="G12" s="162">
        <v>0</v>
      </c>
      <c r="H12" s="164">
        <v>0</v>
      </c>
      <c r="I12" s="164">
        <v>0</v>
      </c>
    </row>
    <row r="13" spans="1:9" ht="14.25">
      <c r="A13" s="361" t="s">
        <v>162</v>
      </c>
      <c r="B13" s="362"/>
      <c r="C13" s="363"/>
      <c r="D13" s="161">
        <v>-1216701.19</v>
      </c>
      <c r="E13" s="162">
        <v>0</v>
      </c>
      <c r="F13" s="161">
        <v>-8784423.8</v>
      </c>
      <c r="G13" s="162">
        <v>0</v>
      </c>
      <c r="H13" s="161">
        <v>-4593292.65</v>
      </c>
      <c r="I13" s="164">
        <v>0</v>
      </c>
    </row>
    <row r="14" spans="1:10" ht="14.25">
      <c r="A14" s="129"/>
      <c r="B14" s="130"/>
      <c r="C14" s="131"/>
      <c r="D14" s="164"/>
      <c r="E14" s="162"/>
      <c r="F14" s="165"/>
      <c r="G14" s="162"/>
      <c r="H14" s="165"/>
      <c r="I14" s="165"/>
      <c r="J14" s="166"/>
    </row>
    <row r="15" spans="1:9" ht="19.5" customHeight="1">
      <c r="A15" s="378" t="s">
        <v>163</v>
      </c>
      <c r="B15" s="378"/>
      <c r="C15" s="378"/>
      <c r="D15" s="167">
        <f>SUM(D11:D13)</f>
        <v>13088855.91</v>
      </c>
      <c r="E15" s="168">
        <v>0</v>
      </c>
      <c r="F15" s="167">
        <f>SUM(F10:F14)</f>
        <v>5334123.27</v>
      </c>
      <c r="G15" s="168">
        <f>SUM(G10:G14)</f>
        <v>0</v>
      </c>
      <c r="H15" s="167">
        <f>SUM(H10:H14)</f>
        <v>8686607.01</v>
      </c>
      <c r="I15" s="168">
        <f>SUM(I10:I14)</f>
        <v>0</v>
      </c>
    </row>
    <row r="17" spans="1:8" ht="14.25">
      <c r="A17" s="364" t="s">
        <v>268</v>
      </c>
      <c r="B17" s="364"/>
      <c r="C17" s="364"/>
      <c r="D17" s="364"/>
      <c r="E17" s="364"/>
      <c r="F17" s="364"/>
      <c r="G17" s="148"/>
      <c r="H17" s="120" t="s">
        <v>226</v>
      </c>
    </row>
    <row r="21" spans="7:9" ht="15">
      <c r="G21" s="374"/>
      <c r="H21" s="374"/>
      <c r="I21" s="374"/>
    </row>
    <row r="22" spans="7:9" ht="14.25">
      <c r="G22" s="375"/>
      <c r="H22" s="375"/>
      <c r="I22" s="375"/>
    </row>
    <row r="25" spans="1:13" ht="15">
      <c r="A25" s="374" t="s">
        <v>255</v>
      </c>
      <c r="B25" s="374"/>
      <c r="C25" s="374"/>
      <c r="D25" s="374"/>
      <c r="E25" s="374"/>
      <c r="F25" s="374" t="s">
        <v>251</v>
      </c>
      <c r="G25" s="374"/>
      <c r="H25" s="374"/>
      <c r="I25" s="156"/>
      <c r="J25" s="156"/>
      <c r="K25" s="156"/>
      <c r="L25" s="156"/>
      <c r="M25" s="156"/>
    </row>
    <row r="26" spans="1:13" ht="14.25">
      <c r="A26" s="375" t="s">
        <v>26</v>
      </c>
      <c r="B26" s="375"/>
      <c r="C26" s="375"/>
      <c r="D26" s="375"/>
      <c r="F26" s="375" t="s">
        <v>247</v>
      </c>
      <c r="G26" s="375"/>
      <c r="H26" s="375"/>
      <c r="I26" s="148"/>
      <c r="J26" s="148"/>
      <c r="K26" s="148"/>
      <c r="L26" s="148"/>
      <c r="M26" s="148"/>
    </row>
    <row r="28" spans="4:7" ht="15">
      <c r="D28" s="374"/>
      <c r="E28" s="374"/>
      <c r="F28" s="374"/>
      <c r="G28" s="374"/>
    </row>
    <row r="29" spans="4:7" ht="14.25">
      <c r="D29" s="375"/>
      <c r="E29" s="375"/>
      <c r="F29" s="375"/>
      <c r="G29" s="375"/>
    </row>
  </sheetData>
  <sheetProtection/>
  <mergeCells count="20">
    <mergeCell ref="D28:G28"/>
    <mergeCell ref="D29:G29"/>
    <mergeCell ref="G21:I21"/>
    <mergeCell ref="G22:I22"/>
    <mergeCell ref="A26:D26"/>
    <mergeCell ref="A25:E25"/>
    <mergeCell ref="F25:H25"/>
    <mergeCell ref="F26:H26"/>
    <mergeCell ref="A15:C15"/>
    <mergeCell ref="B5:K5"/>
    <mergeCell ref="B6:F6"/>
    <mergeCell ref="A9:C9"/>
    <mergeCell ref="A11:C11"/>
    <mergeCell ref="A17:F17"/>
    <mergeCell ref="B2:F2"/>
    <mergeCell ref="B3:F3"/>
    <mergeCell ref="B4:H4"/>
    <mergeCell ref="B1:I1"/>
    <mergeCell ref="A12:C12"/>
    <mergeCell ref="A13:C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85" zoomScaleSheetLayoutView="85" zoomScalePageLayoutView="0" workbookViewId="0" topLeftCell="A16">
      <selection activeCell="A32" sqref="A32"/>
    </sheetView>
  </sheetViews>
  <sheetFormatPr defaultColWidth="9.140625" defaultRowHeight="12.75"/>
  <cols>
    <col min="1" max="1" width="10.28125" style="0" customWidth="1"/>
    <col min="6" max="6" width="12.7109375" style="0" customWidth="1"/>
    <col min="7" max="7" width="15.421875" style="0" customWidth="1"/>
    <col min="8" max="8" width="21.57421875" style="0" customWidth="1"/>
  </cols>
  <sheetData>
    <row r="1" spans="2:9" ht="15.75">
      <c r="B1" s="173" t="s">
        <v>252</v>
      </c>
      <c r="C1" s="173"/>
      <c r="D1" s="173"/>
      <c r="E1" s="173"/>
      <c r="F1" s="173"/>
      <c r="G1" s="173"/>
      <c r="H1" s="173"/>
      <c r="I1" s="173"/>
    </row>
    <row r="2" spans="2:6" ht="12.75">
      <c r="B2" s="176" t="s">
        <v>21</v>
      </c>
      <c r="C2" s="176"/>
      <c r="D2" s="176"/>
      <c r="E2" s="176"/>
      <c r="F2" s="176"/>
    </row>
    <row r="3" spans="2:8" ht="12.75">
      <c r="B3" s="180" t="s">
        <v>22</v>
      </c>
      <c r="C3" s="180"/>
      <c r="D3" s="180"/>
      <c r="E3" s="180"/>
      <c r="F3" s="180"/>
      <c r="G3" s="12"/>
      <c r="H3" s="12"/>
    </row>
    <row r="4" spans="2:8" ht="12.75">
      <c r="B4" s="180" t="s">
        <v>147</v>
      </c>
      <c r="C4" s="180"/>
      <c r="D4" s="180"/>
      <c r="E4" s="180"/>
      <c r="F4" s="180"/>
      <c r="G4" s="180"/>
      <c r="H4" s="180"/>
    </row>
    <row r="5" spans="2:11" ht="12.75">
      <c r="B5" s="227" t="s">
        <v>164</v>
      </c>
      <c r="C5" s="227"/>
      <c r="D5" s="227"/>
      <c r="E5" s="227"/>
      <c r="F5" s="227"/>
      <c r="G5" s="227"/>
      <c r="H5" s="227"/>
      <c r="I5" s="227"/>
      <c r="J5" s="227"/>
      <c r="K5" s="227"/>
    </row>
    <row r="6" spans="2:8" ht="12.75">
      <c r="B6" s="180" t="s">
        <v>25</v>
      </c>
      <c r="C6" s="180"/>
      <c r="D6" s="180"/>
      <c r="E6" s="180"/>
      <c r="F6" s="180"/>
      <c r="G6" s="12"/>
      <c r="H6" s="12"/>
    </row>
    <row r="8" spans="1:8" ht="12.75">
      <c r="A8" s="216" t="s">
        <v>165</v>
      </c>
      <c r="B8" s="217"/>
      <c r="C8" s="217"/>
      <c r="D8" s="217"/>
      <c r="E8" s="218"/>
      <c r="F8" s="43">
        <v>2017</v>
      </c>
      <c r="G8" s="43">
        <v>2016</v>
      </c>
      <c r="H8" s="43">
        <v>2015</v>
      </c>
    </row>
    <row r="9" spans="1:8" ht="12.75">
      <c r="A9" s="219" t="s">
        <v>166</v>
      </c>
      <c r="B9" s="220"/>
      <c r="C9" s="220"/>
      <c r="D9" s="220"/>
      <c r="E9" s="221"/>
      <c r="F9" s="14" t="s">
        <v>107</v>
      </c>
      <c r="G9" s="14" t="s">
        <v>91</v>
      </c>
      <c r="H9" s="14"/>
    </row>
    <row r="10" spans="1:8" ht="12.75">
      <c r="A10" s="266" t="s">
        <v>167</v>
      </c>
      <c r="B10" s="267"/>
      <c r="C10" s="267"/>
      <c r="D10" s="267"/>
      <c r="E10" s="384"/>
      <c r="F10" s="51"/>
      <c r="G10" s="51"/>
      <c r="H10" s="51"/>
    </row>
    <row r="11" spans="1:8" ht="12.75">
      <c r="A11" s="256" t="s">
        <v>168</v>
      </c>
      <c r="B11" s="257"/>
      <c r="C11" s="257"/>
      <c r="D11" s="257"/>
      <c r="E11" s="383"/>
      <c r="F11" s="52"/>
      <c r="G11" s="52"/>
      <c r="H11" s="52"/>
    </row>
    <row r="12" spans="1:8" ht="12.75">
      <c r="A12" s="256" t="s">
        <v>169</v>
      </c>
      <c r="B12" s="257"/>
      <c r="C12" s="257"/>
      <c r="D12" s="257"/>
      <c r="E12" s="383"/>
      <c r="F12" s="53">
        <v>0</v>
      </c>
      <c r="G12" s="53">
        <v>0</v>
      </c>
      <c r="H12" s="91">
        <v>0</v>
      </c>
    </row>
    <row r="13" spans="1:8" ht="12.75">
      <c r="A13" s="258" t="s">
        <v>170</v>
      </c>
      <c r="B13" s="259"/>
      <c r="C13" s="259"/>
      <c r="D13" s="259"/>
      <c r="E13" s="379"/>
      <c r="F13" s="54">
        <v>0</v>
      </c>
      <c r="G13" s="54">
        <v>0</v>
      </c>
      <c r="H13" s="54">
        <v>0</v>
      </c>
    </row>
    <row r="14" spans="1:8" ht="12.75">
      <c r="A14" s="380" t="s">
        <v>163</v>
      </c>
      <c r="B14" s="381"/>
      <c r="C14" s="381"/>
      <c r="D14" s="381"/>
      <c r="E14" s="382"/>
      <c r="F14" s="55">
        <f>SUM(F12:F13)</f>
        <v>0</v>
      </c>
      <c r="G14" s="55">
        <f>SUM(G12:G13)</f>
        <v>0</v>
      </c>
      <c r="H14" s="92">
        <v>0</v>
      </c>
    </row>
    <row r="15" spans="1:5" ht="12.75">
      <c r="A15" s="6"/>
      <c r="B15" s="6"/>
      <c r="C15" s="6"/>
      <c r="D15" s="6"/>
      <c r="E15" s="6"/>
    </row>
    <row r="16" spans="1:8" ht="12.75">
      <c r="A16" s="216" t="s">
        <v>171</v>
      </c>
      <c r="B16" s="217"/>
      <c r="C16" s="217"/>
      <c r="D16" s="217"/>
      <c r="E16" s="218"/>
      <c r="F16" s="43">
        <v>2016</v>
      </c>
      <c r="G16" s="43">
        <v>2015</v>
      </c>
      <c r="H16" s="43">
        <v>2014</v>
      </c>
    </row>
    <row r="17" spans="1:8" ht="12.75">
      <c r="A17" s="219" t="s">
        <v>172</v>
      </c>
      <c r="B17" s="220"/>
      <c r="C17" s="220"/>
      <c r="D17" s="220"/>
      <c r="E17" s="221"/>
      <c r="F17" s="14" t="s">
        <v>89</v>
      </c>
      <c r="G17" s="14" t="s">
        <v>91</v>
      </c>
      <c r="H17" s="14"/>
    </row>
    <row r="18" spans="1:8" ht="12.75">
      <c r="A18" s="266" t="s">
        <v>173</v>
      </c>
      <c r="B18" s="267"/>
      <c r="C18" s="267"/>
      <c r="D18" s="267"/>
      <c r="E18" s="384"/>
      <c r="F18" s="51"/>
      <c r="G18" s="51"/>
      <c r="H18" s="51"/>
    </row>
    <row r="19" spans="1:8" ht="12.75">
      <c r="A19" s="256" t="s">
        <v>174</v>
      </c>
      <c r="B19" s="257"/>
      <c r="C19" s="257"/>
      <c r="D19" s="257"/>
      <c r="E19" s="383"/>
      <c r="F19" s="52"/>
      <c r="G19" s="52"/>
      <c r="H19" s="52"/>
    </row>
    <row r="20" spans="1:8" ht="12.75">
      <c r="A20" s="256" t="s">
        <v>175</v>
      </c>
      <c r="B20" s="257"/>
      <c r="C20" s="257"/>
      <c r="D20" s="257"/>
      <c r="E20" s="383"/>
      <c r="F20" s="53">
        <v>0</v>
      </c>
      <c r="G20" s="53">
        <v>0</v>
      </c>
      <c r="H20" s="53">
        <v>0</v>
      </c>
    </row>
    <row r="21" spans="1:8" ht="12.75">
      <c r="A21" s="256" t="s">
        <v>176</v>
      </c>
      <c r="B21" s="257"/>
      <c r="C21" s="257"/>
      <c r="D21" s="257"/>
      <c r="E21" s="383"/>
      <c r="F21" s="53">
        <v>0</v>
      </c>
      <c r="G21" s="53">
        <v>0</v>
      </c>
      <c r="H21" s="53">
        <v>0</v>
      </c>
    </row>
    <row r="22" spans="1:8" ht="12.75">
      <c r="A22" s="256" t="s">
        <v>177</v>
      </c>
      <c r="B22" s="257"/>
      <c r="C22" s="257"/>
      <c r="D22" s="257"/>
      <c r="E22" s="383"/>
      <c r="F22" s="50">
        <v>0</v>
      </c>
      <c r="G22" s="50">
        <v>0</v>
      </c>
      <c r="H22" s="50">
        <v>0</v>
      </c>
    </row>
    <row r="23" spans="1:8" ht="12.75">
      <c r="A23" s="256" t="s">
        <v>178</v>
      </c>
      <c r="B23" s="257"/>
      <c r="C23" s="257"/>
      <c r="D23" s="257"/>
      <c r="E23" s="383"/>
      <c r="F23" s="50"/>
      <c r="G23" s="50"/>
      <c r="H23" s="50"/>
    </row>
    <row r="24" spans="1:8" ht="12.75">
      <c r="A24" s="256" t="s">
        <v>179</v>
      </c>
      <c r="B24" s="257"/>
      <c r="C24" s="257"/>
      <c r="D24" s="257"/>
      <c r="E24" s="383"/>
      <c r="F24" s="50">
        <v>0</v>
      </c>
      <c r="G24" s="50">
        <v>0</v>
      </c>
      <c r="H24" s="50">
        <v>0</v>
      </c>
    </row>
    <row r="25" spans="1:8" ht="12.75">
      <c r="A25" s="256" t="s">
        <v>180</v>
      </c>
      <c r="B25" s="257"/>
      <c r="C25" s="257"/>
      <c r="D25" s="257"/>
      <c r="E25" s="383"/>
      <c r="F25" s="50">
        <v>0</v>
      </c>
      <c r="G25" s="50">
        <v>0</v>
      </c>
      <c r="H25" s="50">
        <v>0</v>
      </c>
    </row>
    <row r="26" spans="1:8" ht="12.75">
      <c r="A26" s="380" t="s">
        <v>163</v>
      </c>
      <c r="B26" s="381"/>
      <c r="C26" s="381"/>
      <c r="D26" s="381"/>
      <c r="E26" s="382"/>
      <c r="F26" s="56">
        <f>SUM(F20:F25)</f>
        <v>0</v>
      </c>
      <c r="G26" s="56">
        <f>SUM(G20:G25)</f>
        <v>0</v>
      </c>
      <c r="H26" s="57">
        <f>SUM(H20:H25)</f>
        <v>0</v>
      </c>
    </row>
    <row r="28" spans="1:8" ht="12.75">
      <c r="A28" s="238" t="s">
        <v>181</v>
      </c>
      <c r="B28" s="186"/>
      <c r="C28" s="186"/>
      <c r="D28" s="186"/>
      <c r="E28" s="239"/>
      <c r="F28" s="45" t="s">
        <v>182</v>
      </c>
      <c r="G28" s="45" t="s">
        <v>183</v>
      </c>
      <c r="H28" s="45" t="s">
        <v>93</v>
      </c>
    </row>
    <row r="29" spans="1:8" ht="12.75">
      <c r="A29" s="242"/>
      <c r="B29" s="243"/>
      <c r="C29" s="243"/>
      <c r="D29" s="243"/>
      <c r="E29" s="244"/>
      <c r="F29" s="58">
        <f>SUM((F14-F26)+G29)</f>
        <v>0</v>
      </c>
      <c r="G29" s="58">
        <f>SUM((G14-G26)+H29)</f>
        <v>0</v>
      </c>
      <c r="H29" s="58">
        <v>0</v>
      </c>
    </row>
    <row r="31" spans="1:8" ht="12.75">
      <c r="A31" s="180" t="s">
        <v>260</v>
      </c>
      <c r="B31" s="176"/>
      <c r="C31" s="176"/>
      <c r="D31" s="176"/>
      <c r="E31" s="176"/>
      <c r="F31" s="176"/>
      <c r="G31" s="7"/>
      <c r="H31" t="s">
        <v>226</v>
      </c>
    </row>
    <row r="34" spans="6:8" ht="12.75">
      <c r="F34" s="174"/>
      <c r="G34" s="174"/>
      <c r="H34" s="174"/>
    </row>
    <row r="35" spans="6:8" ht="12.75">
      <c r="F35" s="175"/>
      <c r="G35" s="175"/>
      <c r="H35" s="175"/>
    </row>
    <row r="37" spans="1:10" ht="12.75">
      <c r="A37" s="174" t="s">
        <v>255</v>
      </c>
      <c r="B37" s="174"/>
      <c r="C37" s="174"/>
      <c r="D37" s="174"/>
      <c r="E37" s="174"/>
      <c r="F37" s="174" t="s">
        <v>251</v>
      </c>
      <c r="G37" s="174"/>
      <c r="H37" s="174"/>
      <c r="I37" s="59"/>
      <c r="J37" s="59"/>
    </row>
    <row r="38" spans="1:10" ht="12.75">
      <c r="A38" s="183" t="s">
        <v>26</v>
      </c>
      <c r="B38" s="183"/>
      <c r="C38" s="183"/>
      <c r="D38" s="183"/>
      <c r="F38" s="175" t="s">
        <v>247</v>
      </c>
      <c r="G38" s="183"/>
      <c r="H38" s="183"/>
      <c r="I38" s="7"/>
      <c r="J38" s="7"/>
    </row>
    <row r="39" spans="1:8" ht="12.75">
      <c r="A39" s="98"/>
      <c r="B39" s="98"/>
      <c r="C39" s="98"/>
      <c r="D39" s="98"/>
      <c r="F39" s="98"/>
      <c r="G39" s="98"/>
      <c r="H39" s="98"/>
    </row>
    <row r="40" spans="1:8" ht="12.75">
      <c r="A40" s="98"/>
      <c r="B40" s="98"/>
      <c r="C40" s="98"/>
      <c r="D40" s="98"/>
      <c r="F40" s="98"/>
      <c r="G40" s="98"/>
      <c r="H40" s="98"/>
    </row>
    <row r="42" spans="4:6" ht="12.75">
      <c r="D42" s="174"/>
      <c r="E42" s="174"/>
      <c r="F42" s="174"/>
    </row>
    <row r="43" spans="4:6" ht="12.75">
      <c r="D43" s="175"/>
      <c r="E43" s="175"/>
      <c r="F43" s="175"/>
    </row>
    <row r="44" spans="4:6" ht="12.75">
      <c r="D44" s="97"/>
      <c r="E44" s="97"/>
      <c r="F44" s="97"/>
    </row>
  </sheetData>
  <sheetProtection/>
  <mergeCells count="34">
    <mergeCell ref="A37:E37"/>
    <mergeCell ref="F37:H37"/>
    <mergeCell ref="F38:H38"/>
    <mergeCell ref="D42:F42"/>
    <mergeCell ref="D43:F43"/>
    <mergeCell ref="A38:D38"/>
    <mergeCell ref="F35:H35"/>
    <mergeCell ref="A31:F31"/>
    <mergeCell ref="A23:E23"/>
    <mergeCell ref="A24:E24"/>
    <mergeCell ref="A25:E25"/>
    <mergeCell ref="A26:E26"/>
    <mergeCell ref="A28:E29"/>
    <mergeCell ref="F34:H34"/>
    <mergeCell ref="A22:E22"/>
    <mergeCell ref="A16:E16"/>
    <mergeCell ref="A17:E17"/>
    <mergeCell ref="A18:E18"/>
    <mergeCell ref="A10:E10"/>
    <mergeCell ref="A11:E11"/>
    <mergeCell ref="A12:E12"/>
    <mergeCell ref="A19:E19"/>
    <mergeCell ref="A20:E20"/>
    <mergeCell ref="A21:E21"/>
    <mergeCell ref="A13:E13"/>
    <mergeCell ref="A14:E14"/>
    <mergeCell ref="B1:I1"/>
    <mergeCell ref="B5:K5"/>
    <mergeCell ref="B6:F6"/>
    <mergeCell ref="A8:E8"/>
    <mergeCell ref="A9:E9"/>
    <mergeCell ref="B2:F2"/>
    <mergeCell ref="B3:F3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115" zoomScaleSheetLayoutView="115" zoomScalePageLayoutView="0" workbookViewId="0" topLeftCell="A16">
      <selection activeCell="A16" sqref="A16:F16"/>
    </sheetView>
  </sheetViews>
  <sheetFormatPr defaultColWidth="9.140625" defaultRowHeight="12.75"/>
  <cols>
    <col min="3" max="3" width="5.8515625" style="0" customWidth="1"/>
    <col min="4" max="4" width="12.57421875" style="0" customWidth="1"/>
    <col min="6" max="6" width="6.57421875" style="0" customWidth="1"/>
    <col min="7" max="7" width="13.7109375" style="0" customWidth="1"/>
    <col min="8" max="8" width="11.8515625" style="0" customWidth="1"/>
    <col min="9" max="9" width="12.00390625" style="0" customWidth="1"/>
    <col min="14" max="14" width="4.28125" style="0" customWidth="1"/>
  </cols>
  <sheetData>
    <row r="1" spans="1:11" ht="15.75">
      <c r="A1" s="71"/>
      <c r="B1" s="59"/>
      <c r="C1" s="59"/>
      <c r="D1" s="173" t="s">
        <v>253</v>
      </c>
      <c r="E1" s="173"/>
      <c r="F1" s="173"/>
      <c r="G1" s="173"/>
      <c r="H1" s="173"/>
      <c r="I1" s="173"/>
      <c r="J1" s="173"/>
      <c r="K1" s="173"/>
    </row>
    <row r="2" spans="2:8" ht="12.75">
      <c r="B2" s="60"/>
      <c r="C2" s="60"/>
      <c r="D2" s="176" t="s">
        <v>21</v>
      </c>
      <c r="E2" s="176"/>
      <c r="F2" s="176"/>
      <c r="G2" s="176"/>
      <c r="H2" s="176"/>
    </row>
    <row r="3" spans="3:10" ht="12.75">
      <c r="C3" s="60"/>
      <c r="D3" s="180" t="s">
        <v>22</v>
      </c>
      <c r="E3" s="180"/>
      <c r="F3" s="180"/>
      <c r="G3" s="180"/>
      <c r="H3" s="180"/>
      <c r="I3" s="12"/>
      <c r="J3" s="12"/>
    </row>
    <row r="4" spans="2:10" ht="12.75">
      <c r="B4" s="60"/>
      <c r="C4" s="60"/>
      <c r="D4" s="180" t="s">
        <v>147</v>
      </c>
      <c r="E4" s="180"/>
      <c r="F4" s="180"/>
      <c r="G4" s="180"/>
      <c r="H4" s="180"/>
      <c r="I4" s="180"/>
      <c r="J4" s="180"/>
    </row>
    <row r="5" spans="2:13" ht="12.75">
      <c r="B5" s="48"/>
      <c r="C5" s="48"/>
      <c r="D5" s="227" t="s">
        <v>184</v>
      </c>
      <c r="E5" s="227"/>
      <c r="F5" s="227"/>
      <c r="G5" s="227"/>
      <c r="H5" s="227"/>
      <c r="I5" s="227"/>
      <c r="J5" s="227"/>
      <c r="K5" s="227"/>
      <c r="L5" s="227"/>
      <c r="M5" s="227"/>
    </row>
    <row r="6" spans="2:10" ht="12.75">
      <c r="B6" s="60"/>
      <c r="C6" s="60"/>
      <c r="D6" s="180" t="s">
        <v>25</v>
      </c>
      <c r="E6" s="180"/>
      <c r="F6" s="180"/>
      <c r="G6" s="180"/>
      <c r="H6" s="180"/>
      <c r="I6" s="12"/>
      <c r="J6" s="12"/>
    </row>
    <row r="8" spans="1:14" ht="12.75">
      <c r="A8" s="325" t="s">
        <v>185</v>
      </c>
      <c r="B8" s="390"/>
      <c r="C8" s="326"/>
      <c r="D8" s="340" t="s">
        <v>186</v>
      </c>
      <c r="E8" s="386"/>
      <c r="F8" s="386"/>
      <c r="G8" s="386"/>
      <c r="H8" s="386"/>
      <c r="I8" s="386"/>
      <c r="J8" s="386" t="s">
        <v>187</v>
      </c>
      <c r="K8" s="387"/>
      <c r="L8" s="387"/>
      <c r="M8" s="387"/>
      <c r="N8" s="387"/>
    </row>
    <row r="9" spans="1:14" ht="12.75">
      <c r="A9" s="388" t="s">
        <v>188</v>
      </c>
      <c r="B9" s="388"/>
      <c r="C9" s="388"/>
      <c r="D9" s="340" t="s">
        <v>189</v>
      </c>
      <c r="E9" s="386"/>
      <c r="F9" s="386"/>
      <c r="G9" s="49">
        <v>2016</v>
      </c>
      <c r="H9" s="49">
        <v>2017</v>
      </c>
      <c r="I9" s="49">
        <v>2018</v>
      </c>
      <c r="J9" s="387"/>
      <c r="K9" s="387"/>
      <c r="L9" s="387"/>
      <c r="M9" s="387"/>
      <c r="N9" s="387"/>
    </row>
    <row r="10" spans="1:14" ht="12.75">
      <c r="A10" s="194"/>
      <c r="B10" s="389"/>
      <c r="C10" s="195"/>
      <c r="D10" s="194"/>
      <c r="E10" s="389"/>
      <c r="F10" s="195"/>
      <c r="G10" s="61"/>
      <c r="H10" s="62"/>
      <c r="I10" s="62"/>
      <c r="J10" s="194"/>
      <c r="K10" s="389"/>
      <c r="L10" s="389"/>
      <c r="M10" s="389"/>
      <c r="N10" s="195"/>
    </row>
    <row r="11" spans="1:14" ht="12.75">
      <c r="A11" s="391">
        <v>0</v>
      </c>
      <c r="B11" s="392"/>
      <c r="C11" s="393"/>
      <c r="D11" s="391">
        <v>0</v>
      </c>
      <c r="E11" s="392"/>
      <c r="F11" s="393"/>
      <c r="G11" s="84">
        <v>0</v>
      </c>
      <c r="H11" s="81">
        <v>0</v>
      </c>
      <c r="I11" s="81">
        <v>0</v>
      </c>
      <c r="J11" s="391">
        <v>0</v>
      </c>
      <c r="K11" s="392"/>
      <c r="L11" s="392"/>
      <c r="M11" s="392"/>
      <c r="N11" s="393"/>
    </row>
    <row r="12" spans="1:14" ht="12.75">
      <c r="A12" s="204"/>
      <c r="B12" s="385"/>
      <c r="C12" s="205"/>
      <c r="D12" s="204"/>
      <c r="E12" s="385"/>
      <c r="F12" s="205"/>
      <c r="G12" s="63"/>
      <c r="H12" s="54"/>
      <c r="I12" s="54"/>
      <c r="J12" s="204"/>
      <c r="K12" s="385"/>
      <c r="L12" s="385"/>
      <c r="M12" s="385"/>
      <c r="N12" s="205"/>
    </row>
    <row r="13" spans="1:9" ht="12.75">
      <c r="A13" s="394" t="s">
        <v>163</v>
      </c>
      <c r="B13" s="394"/>
      <c r="C13" s="394"/>
      <c r="D13" s="394"/>
      <c r="E13" s="394"/>
      <c r="F13" s="394"/>
      <c r="G13" s="85">
        <v>0</v>
      </c>
      <c r="H13" s="85">
        <v>0</v>
      </c>
      <c r="I13" s="85">
        <v>0</v>
      </c>
    </row>
    <row r="16" spans="1:8" ht="12.75">
      <c r="A16" s="180" t="s">
        <v>258</v>
      </c>
      <c r="B16" s="176"/>
      <c r="C16" s="176"/>
      <c r="D16" s="176"/>
      <c r="E16" s="176"/>
      <c r="F16" s="176"/>
      <c r="G16" s="7"/>
      <c r="H16" t="s">
        <v>226</v>
      </c>
    </row>
    <row r="21" spans="1:12" ht="12.75">
      <c r="A21" s="174" t="s">
        <v>255</v>
      </c>
      <c r="B21" s="174"/>
      <c r="C21" s="174"/>
      <c r="D21" s="174"/>
      <c r="E21" s="174"/>
      <c r="F21" s="59"/>
      <c r="G21" s="59"/>
      <c r="H21" s="174" t="s">
        <v>251</v>
      </c>
      <c r="I21" s="174"/>
      <c r="J21" s="174"/>
      <c r="K21" s="174"/>
      <c r="L21" s="174"/>
    </row>
    <row r="22" spans="1:12" ht="12.75">
      <c r="A22" s="183" t="s">
        <v>26</v>
      </c>
      <c r="B22" s="183"/>
      <c r="C22" s="183"/>
      <c r="D22" s="183"/>
      <c r="E22" s="175"/>
      <c r="F22" s="175"/>
      <c r="G22" s="175"/>
      <c r="H22" s="175" t="s">
        <v>247</v>
      </c>
      <c r="I22" s="183"/>
      <c r="J22" s="183"/>
      <c r="K22" s="183"/>
      <c r="L22" s="183"/>
    </row>
  </sheetData>
  <sheetProtection/>
  <mergeCells count="27">
    <mergeCell ref="A21:E21"/>
    <mergeCell ref="D11:F11"/>
    <mergeCell ref="J11:N11"/>
    <mergeCell ref="H21:L21"/>
    <mergeCell ref="H22:L22"/>
    <mergeCell ref="A13:F13"/>
    <mergeCell ref="A22:D22"/>
    <mergeCell ref="E22:G22"/>
    <mergeCell ref="A16:F16"/>
    <mergeCell ref="A11:C11"/>
    <mergeCell ref="J8:N9"/>
    <mergeCell ref="A9:C9"/>
    <mergeCell ref="D9:F9"/>
    <mergeCell ref="A10:C10"/>
    <mergeCell ref="D10:F10"/>
    <mergeCell ref="J10:N10"/>
    <mergeCell ref="A8:C8"/>
    <mergeCell ref="D2:H2"/>
    <mergeCell ref="D3:H3"/>
    <mergeCell ref="D4:J4"/>
    <mergeCell ref="D1:K1"/>
    <mergeCell ref="A12:C12"/>
    <mergeCell ref="D12:F12"/>
    <mergeCell ref="J12:N12"/>
    <mergeCell ref="D5:M5"/>
    <mergeCell ref="D6:H6"/>
    <mergeCell ref="D8:I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30" zoomScaleSheetLayoutView="130" zoomScalePageLayoutView="0" workbookViewId="0" topLeftCell="A19">
      <selection activeCell="A20" sqref="A20:F20"/>
    </sheetView>
  </sheetViews>
  <sheetFormatPr defaultColWidth="9.140625" defaultRowHeight="12.75"/>
  <cols>
    <col min="7" max="7" width="13.57421875" style="0" customWidth="1"/>
  </cols>
  <sheetData>
    <row r="1" spans="2:9" ht="15.75">
      <c r="B1" s="173" t="s">
        <v>252</v>
      </c>
      <c r="C1" s="173"/>
      <c r="D1" s="173"/>
      <c r="E1" s="173"/>
      <c r="F1" s="173"/>
      <c r="G1" s="173"/>
      <c r="H1" s="173"/>
      <c r="I1" s="173"/>
    </row>
    <row r="2" spans="2:6" ht="12.75">
      <c r="B2" s="176" t="s">
        <v>21</v>
      </c>
      <c r="C2" s="176"/>
      <c r="D2" s="176"/>
      <c r="E2" s="176"/>
      <c r="F2" s="176"/>
    </row>
    <row r="3" spans="2:8" ht="12.75">
      <c r="B3" s="180" t="s">
        <v>22</v>
      </c>
      <c r="C3" s="180"/>
      <c r="D3" s="180"/>
      <c r="E3" s="180"/>
      <c r="F3" s="180"/>
      <c r="G3" s="12"/>
      <c r="H3" s="12"/>
    </row>
    <row r="4" spans="2:8" ht="12.75">
      <c r="B4" s="180" t="s">
        <v>147</v>
      </c>
      <c r="C4" s="180"/>
      <c r="D4" s="180"/>
      <c r="E4" s="180"/>
      <c r="F4" s="180"/>
      <c r="G4" s="180"/>
      <c r="H4" s="180"/>
    </row>
    <row r="5" spans="2:9" ht="12.75">
      <c r="B5" s="227" t="s">
        <v>190</v>
      </c>
      <c r="C5" s="227"/>
      <c r="D5" s="227"/>
      <c r="E5" s="227"/>
      <c r="F5" s="227"/>
      <c r="G5" s="227"/>
      <c r="H5" s="48"/>
      <c r="I5" s="48"/>
    </row>
    <row r="6" spans="2:8" ht="12.75">
      <c r="B6" s="180" t="s">
        <v>25</v>
      </c>
      <c r="C6" s="180"/>
      <c r="D6" s="180"/>
      <c r="E6" s="180"/>
      <c r="F6" s="180"/>
      <c r="G6" s="12"/>
      <c r="H6" s="12"/>
    </row>
    <row r="7" spans="2:8" ht="12.75">
      <c r="B7" s="44"/>
      <c r="C7" s="44"/>
      <c r="D7" s="44"/>
      <c r="E7" s="44"/>
      <c r="F7" s="44"/>
      <c r="G7" s="12"/>
      <c r="H7" s="12"/>
    </row>
    <row r="9" spans="1:9" ht="18" customHeight="1">
      <c r="A9" s="177" t="s">
        <v>191</v>
      </c>
      <c r="B9" s="177"/>
      <c r="C9" s="177"/>
      <c r="D9" s="177"/>
      <c r="E9" s="177"/>
      <c r="F9" s="177"/>
      <c r="G9" s="177"/>
      <c r="H9" s="177">
        <v>2017</v>
      </c>
      <c r="I9" s="177"/>
    </row>
    <row r="10" spans="1:9" ht="18" customHeight="1">
      <c r="A10" s="178" t="s">
        <v>192</v>
      </c>
      <c r="B10" s="179"/>
      <c r="C10" s="179"/>
      <c r="D10" s="179"/>
      <c r="E10" s="179"/>
      <c r="F10" s="179"/>
      <c r="G10" s="179"/>
      <c r="H10" s="399">
        <v>0</v>
      </c>
      <c r="I10" s="400"/>
    </row>
    <row r="11" spans="1:9" ht="18" customHeight="1">
      <c r="A11" s="169" t="s">
        <v>193</v>
      </c>
      <c r="B11" s="170"/>
      <c r="C11" s="170"/>
      <c r="D11" s="170"/>
      <c r="E11" s="170"/>
      <c r="F11" s="170"/>
      <c r="G11" s="170"/>
      <c r="H11" s="401">
        <v>0</v>
      </c>
      <c r="I11" s="402"/>
    </row>
    <row r="12" spans="1:9" ht="18" customHeight="1">
      <c r="A12" s="396" t="s">
        <v>244</v>
      </c>
      <c r="B12" s="274"/>
      <c r="C12" s="274"/>
      <c r="D12" s="274"/>
      <c r="E12" s="274"/>
      <c r="F12" s="274"/>
      <c r="G12" s="274"/>
      <c r="H12" s="397">
        <v>0</v>
      </c>
      <c r="I12" s="398"/>
    </row>
    <row r="13" spans="1:9" ht="18" customHeight="1">
      <c r="A13" s="287" t="s">
        <v>194</v>
      </c>
      <c r="B13" s="287"/>
      <c r="C13" s="287"/>
      <c r="D13" s="287"/>
      <c r="E13" s="287"/>
      <c r="F13" s="287"/>
      <c r="G13" s="287"/>
      <c r="H13" s="395">
        <v>0</v>
      </c>
      <c r="I13" s="395"/>
    </row>
    <row r="14" spans="1:9" ht="18" customHeight="1">
      <c r="A14" s="287" t="s">
        <v>195</v>
      </c>
      <c r="B14" s="287"/>
      <c r="C14" s="287"/>
      <c r="D14" s="287"/>
      <c r="E14" s="287"/>
      <c r="F14" s="287"/>
      <c r="G14" s="287"/>
      <c r="H14" s="395">
        <v>0</v>
      </c>
      <c r="I14" s="395"/>
    </row>
    <row r="15" spans="1:9" ht="18" customHeight="1">
      <c r="A15" s="287" t="s">
        <v>196</v>
      </c>
      <c r="B15" s="287"/>
      <c r="C15" s="287"/>
      <c r="D15" s="287"/>
      <c r="E15" s="287"/>
      <c r="F15" s="287"/>
      <c r="G15" s="287"/>
      <c r="H15" s="395">
        <v>0</v>
      </c>
      <c r="I15" s="395"/>
    </row>
    <row r="16" spans="1:9" ht="18" customHeight="1">
      <c r="A16" s="178" t="s">
        <v>197</v>
      </c>
      <c r="B16" s="179"/>
      <c r="C16" s="179"/>
      <c r="D16" s="179"/>
      <c r="E16" s="179"/>
      <c r="F16" s="179"/>
      <c r="G16" s="212"/>
      <c r="H16" s="399">
        <v>0</v>
      </c>
      <c r="I16" s="400"/>
    </row>
    <row r="17" spans="1:9" ht="18" customHeight="1">
      <c r="A17" s="273" t="s">
        <v>198</v>
      </c>
      <c r="B17" s="274"/>
      <c r="C17" s="274"/>
      <c r="D17" s="274"/>
      <c r="E17" s="274"/>
      <c r="F17" s="274"/>
      <c r="G17" s="275"/>
      <c r="H17" s="397">
        <v>0</v>
      </c>
      <c r="I17" s="398"/>
    </row>
    <row r="18" spans="1:9" ht="18" customHeight="1">
      <c r="A18" s="287" t="s">
        <v>199</v>
      </c>
      <c r="B18" s="287"/>
      <c r="C18" s="287"/>
      <c r="D18" s="287"/>
      <c r="E18" s="287"/>
      <c r="F18" s="287"/>
      <c r="G18" s="287"/>
      <c r="H18" s="395">
        <v>0</v>
      </c>
      <c r="I18" s="395"/>
    </row>
    <row r="20" spans="1:8" ht="12.75">
      <c r="A20" s="180" t="s">
        <v>258</v>
      </c>
      <c r="B20" s="176"/>
      <c r="C20" s="176"/>
      <c r="D20" s="176"/>
      <c r="E20" s="176"/>
      <c r="F20" s="176"/>
      <c r="G20" s="7"/>
      <c r="H20" t="s">
        <v>226</v>
      </c>
    </row>
    <row r="22" spans="1:9" ht="12.75">
      <c r="A22" s="183"/>
      <c r="B22" s="183"/>
      <c r="C22" s="183"/>
      <c r="D22" s="183"/>
      <c r="F22" s="183"/>
      <c r="G22" s="183"/>
      <c r="H22" s="183"/>
      <c r="I22" s="183"/>
    </row>
    <row r="23" spans="1:9" ht="12.75">
      <c r="A23" s="183"/>
      <c r="B23" s="183"/>
      <c r="C23" s="183"/>
      <c r="D23" s="183"/>
      <c r="F23" s="183"/>
      <c r="G23" s="183"/>
      <c r="H23" s="183"/>
      <c r="I23" s="183"/>
    </row>
    <row r="25" spans="1:10" ht="12.75">
      <c r="A25" s="174" t="s">
        <v>256</v>
      </c>
      <c r="B25" s="174"/>
      <c r="C25" s="174"/>
      <c r="D25" s="174"/>
      <c r="E25" s="174"/>
      <c r="F25" s="174" t="s">
        <v>251</v>
      </c>
      <c r="G25" s="174"/>
      <c r="H25" s="174"/>
      <c r="I25" s="174"/>
      <c r="J25" s="174"/>
    </row>
    <row r="26" spans="1:10" ht="12.75">
      <c r="A26" s="183" t="s">
        <v>26</v>
      </c>
      <c r="B26" s="183"/>
      <c r="C26" s="183"/>
      <c r="D26" s="183"/>
      <c r="F26" s="175" t="s">
        <v>247</v>
      </c>
      <c r="G26" s="183"/>
      <c r="H26" s="183"/>
      <c r="I26" s="183"/>
      <c r="J26" s="183"/>
    </row>
  </sheetData>
  <sheetProtection/>
  <mergeCells count="33">
    <mergeCell ref="A26:D26"/>
    <mergeCell ref="A18:G18"/>
    <mergeCell ref="H18:I18"/>
    <mergeCell ref="F26:J26"/>
    <mergeCell ref="F25:J25"/>
    <mergeCell ref="F22:I23"/>
    <mergeCell ref="A22:D23"/>
    <mergeCell ref="A20:F20"/>
    <mergeCell ref="A25:E25"/>
    <mergeCell ref="A15:G15"/>
    <mergeCell ref="H15:I15"/>
    <mergeCell ref="A13:G13"/>
    <mergeCell ref="H10:I10"/>
    <mergeCell ref="A11:G11"/>
    <mergeCell ref="H11:I11"/>
    <mergeCell ref="A17:G17"/>
    <mergeCell ref="H17:I17"/>
    <mergeCell ref="B1:I1"/>
    <mergeCell ref="B5:G5"/>
    <mergeCell ref="B6:F6"/>
    <mergeCell ref="A9:G9"/>
    <mergeCell ref="H9:I9"/>
    <mergeCell ref="A16:G16"/>
    <mergeCell ref="H16:I16"/>
    <mergeCell ref="B2:F2"/>
    <mergeCell ref="B3:F3"/>
    <mergeCell ref="B4:H4"/>
    <mergeCell ref="H13:I13"/>
    <mergeCell ref="A14:G14"/>
    <mergeCell ref="H14:I14"/>
    <mergeCell ref="A12:G12"/>
    <mergeCell ref="H12:I12"/>
    <mergeCell ref="A10:G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130" zoomScaleSheetLayoutView="130" zoomScalePageLayoutView="0" workbookViewId="0" topLeftCell="A16">
      <selection activeCell="A22" sqref="A22:F22"/>
    </sheetView>
  </sheetViews>
  <sheetFormatPr defaultColWidth="9.140625" defaultRowHeight="12.75"/>
  <cols>
    <col min="7" max="7" width="12.00390625" style="0" customWidth="1"/>
    <col min="9" max="9" width="15.421875" style="0" customWidth="1"/>
  </cols>
  <sheetData>
    <row r="1" spans="2:9" ht="15.75">
      <c r="B1" s="173" t="s">
        <v>252</v>
      </c>
      <c r="C1" s="173"/>
      <c r="D1" s="173"/>
      <c r="E1" s="173"/>
      <c r="F1" s="173"/>
      <c r="G1" s="173"/>
      <c r="H1" s="173"/>
      <c r="I1" s="173"/>
    </row>
    <row r="2" spans="2:6" ht="12.75">
      <c r="B2" s="176" t="s">
        <v>21</v>
      </c>
      <c r="C2" s="176"/>
      <c r="D2" s="176"/>
      <c r="E2" s="176"/>
      <c r="F2" s="176"/>
    </row>
    <row r="3" spans="2:8" ht="12.75">
      <c r="B3" s="180" t="s">
        <v>22</v>
      </c>
      <c r="C3" s="180"/>
      <c r="D3" s="180"/>
      <c r="E3" s="180"/>
      <c r="F3" s="180"/>
      <c r="G3" s="12"/>
      <c r="H3" s="12"/>
    </row>
    <row r="4" spans="2:8" ht="12.75">
      <c r="B4" s="180" t="s">
        <v>200</v>
      </c>
      <c r="C4" s="180"/>
      <c r="D4" s="180"/>
      <c r="E4" s="180"/>
      <c r="F4" s="180"/>
      <c r="G4" s="180"/>
      <c r="H4" s="180"/>
    </row>
    <row r="5" spans="2:9" ht="12.75">
      <c r="B5" s="227" t="s">
        <v>201</v>
      </c>
      <c r="C5" s="227"/>
      <c r="D5" s="227"/>
      <c r="E5" s="227"/>
      <c r="F5" s="227"/>
      <c r="G5" s="227"/>
      <c r="H5" s="48"/>
      <c r="I5" s="48"/>
    </row>
    <row r="6" spans="2:8" ht="12.75">
      <c r="B6" s="180"/>
      <c r="C6" s="180"/>
      <c r="D6" s="180"/>
      <c r="E6" s="180"/>
      <c r="F6" s="180"/>
      <c r="G6" s="12"/>
      <c r="H6" s="12"/>
    </row>
    <row r="7" spans="2:8" ht="12.75">
      <c r="B7" s="44"/>
      <c r="C7" s="44"/>
      <c r="D7" s="44"/>
      <c r="E7" s="44"/>
      <c r="F7" s="44"/>
      <c r="G7" s="12"/>
      <c r="H7" s="12"/>
    </row>
    <row r="8" ht="12.75">
      <c r="I8" s="83" t="s">
        <v>127</v>
      </c>
    </row>
    <row r="9" spans="1:9" ht="18" customHeight="1">
      <c r="A9" s="177" t="s">
        <v>202</v>
      </c>
      <c r="B9" s="177"/>
      <c r="C9" s="177"/>
      <c r="D9" s="177"/>
      <c r="E9" s="177"/>
      <c r="F9" s="177"/>
      <c r="G9" s="177"/>
      <c r="H9" s="177">
        <v>2018</v>
      </c>
      <c r="I9" s="177"/>
    </row>
    <row r="10" spans="1:9" ht="18" customHeight="1">
      <c r="A10" s="178" t="s">
        <v>203</v>
      </c>
      <c r="B10" s="179"/>
      <c r="C10" s="179"/>
      <c r="D10" s="179"/>
      <c r="E10" s="179"/>
      <c r="F10" s="179"/>
      <c r="G10" s="179"/>
      <c r="H10" s="399">
        <v>0</v>
      </c>
      <c r="I10" s="400"/>
    </row>
    <row r="11" spans="1:9" ht="18" customHeight="1">
      <c r="A11" s="287" t="s">
        <v>204</v>
      </c>
      <c r="B11" s="287"/>
      <c r="C11" s="287"/>
      <c r="D11" s="287"/>
      <c r="E11" s="287"/>
      <c r="F11" s="287"/>
      <c r="G11" s="287"/>
      <c r="H11" s="395">
        <v>0</v>
      </c>
      <c r="I11" s="395"/>
    </row>
    <row r="12" spans="1:9" ht="18" customHeight="1">
      <c r="A12" s="287" t="s">
        <v>205</v>
      </c>
      <c r="B12" s="287"/>
      <c r="C12" s="287"/>
      <c r="D12" s="287"/>
      <c r="E12" s="287"/>
      <c r="F12" s="287"/>
      <c r="G12" s="287"/>
      <c r="H12" s="395">
        <v>0</v>
      </c>
      <c r="I12" s="395"/>
    </row>
    <row r="13" spans="1:9" ht="18" customHeight="1">
      <c r="A13" s="287" t="s">
        <v>206</v>
      </c>
      <c r="B13" s="287"/>
      <c r="C13" s="287"/>
      <c r="D13" s="287"/>
      <c r="E13" s="287"/>
      <c r="F13" s="287"/>
      <c r="G13" s="287"/>
      <c r="H13" s="395">
        <f>SUM(H10:I12)</f>
        <v>0</v>
      </c>
      <c r="I13" s="395"/>
    </row>
    <row r="15" ht="12.75">
      <c r="A15" s="82" t="s">
        <v>30</v>
      </c>
    </row>
    <row r="16" ht="12.75">
      <c r="A16" s="82" t="s">
        <v>208</v>
      </c>
    </row>
    <row r="17" ht="12.75">
      <c r="A17" s="82" t="s">
        <v>209</v>
      </c>
    </row>
    <row r="18" ht="12.75">
      <c r="A18" s="82" t="s">
        <v>210</v>
      </c>
    </row>
    <row r="19" ht="12.75">
      <c r="A19" s="82"/>
    </row>
    <row r="20" ht="12.75">
      <c r="A20" s="82"/>
    </row>
    <row r="21" ht="13.5" customHeight="1"/>
    <row r="22" spans="1:8" ht="12.75">
      <c r="A22" s="180" t="s">
        <v>258</v>
      </c>
      <c r="B22" s="176"/>
      <c r="C22" s="176"/>
      <c r="D22" s="176"/>
      <c r="E22" s="176"/>
      <c r="F22" s="176"/>
      <c r="G22" s="7"/>
      <c r="H22" t="s">
        <v>226</v>
      </c>
    </row>
    <row r="27" spans="1:9" ht="12.75">
      <c r="A27" s="174" t="s">
        <v>255</v>
      </c>
      <c r="B27" s="174"/>
      <c r="C27" s="174"/>
      <c r="D27" s="174"/>
      <c r="E27" s="174" t="s">
        <v>251</v>
      </c>
      <c r="F27" s="174"/>
      <c r="G27" s="174"/>
      <c r="H27" s="174"/>
      <c r="I27" s="174"/>
    </row>
    <row r="28" spans="1:9" ht="12.75">
      <c r="A28" s="183" t="s">
        <v>26</v>
      </c>
      <c r="B28" s="183"/>
      <c r="C28" s="183"/>
      <c r="D28" s="183"/>
      <c r="E28" s="175" t="s">
        <v>247</v>
      </c>
      <c r="F28" s="183"/>
      <c r="G28" s="183"/>
      <c r="H28" s="183"/>
      <c r="I28" s="183"/>
    </row>
    <row r="30" spans="4:7" ht="12.75">
      <c r="D30" s="99"/>
      <c r="E30" s="99"/>
      <c r="F30" s="99"/>
      <c r="G30" s="99"/>
    </row>
    <row r="31" spans="4:7" ht="12.75">
      <c r="D31" s="99"/>
      <c r="E31" s="99"/>
      <c r="F31" s="99"/>
      <c r="G31" s="99"/>
    </row>
  </sheetData>
  <sheetProtection/>
  <mergeCells count="21">
    <mergeCell ref="A22:F22"/>
    <mergeCell ref="A13:G13"/>
    <mergeCell ref="H11:I11"/>
    <mergeCell ref="H13:I13"/>
    <mergeCell ref="A11:G11"/>
    <mergeCell ref="B1:I1"/>
    <mergeCell ref="H10:I10"/>
    <mergeCell ref="A12:G12"/>
    <mergeCell ref="B2:F2"/>
    <mergeCell ref="B3:F3"/>
    <mergeCell ref="H9:I9"/>
    <mergeCell ref="B4:H4"/>
    <mergeCell ref="A9:G9"/>
    <mergeCell ref="A10:G10"/>
    <mergeCell ref="B6:F6"/>
    <mergeCell ref="B5:G5"/>
    <mergeCell ref="A28:D28"/>
    <mergeCell ref="A27:D27"/>
    <mergeCell ref="E28:I28"/>
    <mergeCell ref="E27:I27"/>
    <mergeCell ref="H12:I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0"/>
  <sheetViews>
    <sheetView showGridLines="0" view="pageBreakPreview" zoomScale="80" zoomScaleSheetLayoutView="80" zoomScalePageLayoutView="0" workbookViewId="0" topLeftCell="A1">
      <selection activeCell="I162" sqref="I162"/>
    </sheetView>
  </sheetViews>
  <sheetFormatPr defaultColWidth="9.140625" defaultRowHeight="12.75"/>
  <cols>
    <col min="6" max="6" width="8.00390625" style="0" customWidth="1"/>
    <col min="9" max="9" width="13.00390625" style="0" customWidth="1"/>
  </cols>
  <sheetData>
    <row r="1" spans="3:10" ht="15.75">
      <c r="C1" s="173" t="s">
        <v>253</v>
      </c>
      <c r="D1" s="173"/>
      <c r="E1" s="173"/>
      <c r="F1" s="173"/>
      <c r="G1" s="173"/>
      <c r="H1" s="173"/>
      <c r="I1" s="173"/>
      <c r="J1" s="173"/>
    </row>
    <row r="2" spans="3:7" ht="12.75">
      <c r="C2" s="176" t="s">
        <v>21</v>
      </c>
      <c r="D2" s="176"/>
      <c r="E2" s="176"/>
      <c r="F2" s="176"/>
      <c r="G2" s="176"/>
    </row>
    <row r="3" spans="3:7" ht="12.75">
      <c r="C3" s="176" t="s">
        <v>22</v>
      </c>
      <c r="D3" s="176"/>
      <c r="E3" s="176"/>
      <c r="F3" s="176"/>
      <c r="G3" s="176"/>
    </row>
    <row r="4" spans="3:9" ht="12.75">
      <c r="C4" s="176" t="s">
        <v>230</v>
      </c>
      <c r="D4" s="176"/>
      <c r="E4" s="176"/>
      <c r="F4" s="176"/>
      <c r="G4" s="176"/>
      <c r="H4" s="176"/>
      <c r="I4" s="176"/>
    </row>
    <row r="5" spans="3:7" ht="12.75">
      <c r="C5" s="176" t="s">
        <v>24</v>
      </c>
      <c r="D5" s="176"/>
      <c r="E5" s="176"/>
      <c r="F5" s="176"/>
      <c r="G5" s="176"/>
    </row>
    <row r="6" spans="3:7" ht="12.75">
      <c r="C6" s="176" t="s">
        <v>25</v>
      </c>
      <c r="D6" s="176"/>
      <c r="E6" s="176"/>
      <c r="F6" s="176"/>
      <c r="G6" s="176"/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2" ht="12.75">
      <c r="A8" s="186" t="s">
        <v>32</v>
      </c>
      <c r="B8" s="186"/>
    </row>
    <row r="10" spans="1:6" ht="12.75">
      <c r="A10" s="198" t="s">
        <v>27</v>
      </c>
      <c r="B10" s="199"/>
      <c r="C10" s="198" t="s">
        <v>28</v>
      </c>
      <c r="D10" s="199"/>
      <c r="E10" s="198" t="s">
        <v>29</v>
      </c>
      <c r="F10" s="199"/>
    </row>
    <row r="11" spans="1:6" ht="12.75">
      <c r="A11" s="194">
        <v>2016</v>
      </c>
      <c r="B11" s="195"/>
      <c r="C11" s="196">
        <f>'Quadro de Receitas'!F11</f>
        <v>159058.37</v>
      </c>
      <c r="D11" s="197"/>
      <c r="E11" s="200"/>
      <c r="F11" s="201"/>
    </row>
    <row r="12" spans="1:6" ht="12.75">
      <c r="A12" s="190">
        <f>A11+1</f>
        <v>2017</v>
      </c>
      <c r="B12" s="191"/>
      <c r="C12" s="192">
        <f>('Quadro de Receitas'!G11)</f>
        <v>456848.35</v>
      </c>
      <c r="D12" s="193"/>
      <c r="E12" s="202">
        <v>0</v>
      </c>
      <c r="F12" s="203"/>
    </row>
    <row r="13" spans="1:6" ht="12.75">
      <c r="A13" s="190">
        <f>A12+1</f>
        <v>2018</v>
      </c>
      <c r="B13" s="191"/>
      <c r="C13" s="192">
        <f>('Quadro de Receitas'!H11)</f>
        <v>518300</v>
      </c>
      <c r="D13" s="193"/>
      <c r="E13" s="202">
        <f>(C13/(C12/100))-100</f>
        <v>13.451214172055145</v>
      </c>
      <c r="F13" s="203"/>
    </row>
    <row r="14" spans="1:6" ht="12.75">
      <c r="A14" s="190">
        <f>A13+1</f>
        <v>2019</v>
      </c>
      <c r="B14" s="191"/>
      <c r="C14" s="192">
        <f>('Quadro de Receitas'!I11)</f>
        <v>554581</v>
      </c>
      <c r="D14" s="193"/>
      <c r="E14" s="202">
        <f>(C14/(C13/100))-100</f>
        <v>7</v>
      </c>
      <c r="F14" s="203"/>
    </row>
    <row r="15" spans="1:6" ht="12.75">
      <c r="A15" s="190">
        <f>A14+1</f>
        <v>2020</v>
      </c>
      <c r="B15" s="191"/>
      <c r="C15" s="192">
        <f>('Quadro de Receitas'!J11)</f>
        <v>593401.67</v>
      </c>
      <c r="D15" s="193"/>
      <c r="E15" s="202">
        <f>(C15/(C14/100))-100</f>
        <v>7</v>
      </c>
      <c r="F15" s="203"/>
    </row>
    <row r="16" spans="1:6" ht="12.75">
      <c r="A16" s="204">
        <f>A15+1</f>
        <v>2021</v>
      </c>
      <c r="B16" s="205"/>
      <c r="C16" s="187">
        <f>('Quadro de Receitas'!K11)</f>
        <v>634939.7869000001</v>
      </c>
      <c r="D16" s="188"/>
      <c r="E16" s="206">
        <f>(C16/(C15/100))-100</f>
        <v>7.000000000000014</v>
      </c>
      <c r="F16" s="207"/>
    </row>
    <row r="18" ht="12.75">
      <c r="A18" s="9" t="s">
        <v>30</v>
      </c>
    </row>
    <row r="19" spans="1:7" ht="12.75">
      <c r="A19" s="7" t="s">
        <v>220</v>
      </c>
      <c r="B19" s="7"/>
      <c r="C19" s="7"/>
      <c r="D19" s="7"/>
      <c r="E19" s="7"/>
      <c r="F19" s="7"/>
      <c r="G19" s="7"/>
    </row>
    <row r="20" spans="1:6" ht="15.75" customHeight="1">
      <c r="A20" t="s">
        <v>222</v>
      </c>
      <c r="F20" s="42"/>
    </row>
    <row r="21" spans="1:9" ht="12.75">
      <c r="A21" s="3" t="s">
        <v>221</v>
      </c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2" ht="12.75">
      <c r="A24" s="10" t="s">
        <v>31</v>
      </c>
      <c r="B24" s="10"/>
    </row>
    <row r="26" spans="1:6" ht="12.75">
      <c r="A26" s="198" t="s">
        <v>27</v>
      </c>
      <c r="B26" s="199"/>
      <c r="C26" s="198" t="s">
        <v>28</v>
      </c>
      <c r="D26" s="199"/>
      <c r="E26" s="198" t="s">
        <v>29</v>
      </c>
      <c r="F26" s="199"/>
    </row>
    <row r="27" spans="1:6" ht="12.75">
      <c r="A27" s="194">
        <v>2016</v>
      </c>
      <c r="B27" s="195"/>
      <c r="C27" s="196">
        <f>('Quadro de Receitas'!F12)</f>
        <v>28036.86</v>
      </c>
      <c r="D27" s="197"/>
      <c r="E27" s="194"/>
      <c r="F27" s="195"/>
    </row>
    <row r="28" spans="1:6" ht="12.75">
      <c r="A28" s="190">
        <f>A27+1</f>
        <v>2017</v>
      </c>
      <c r="B28" s="191"/>
      <c r="C28" s="196">
        <f>('Quadro de Receitas'!F13)</f>
        <v>121807.94</v>
      </c>
      <c r="D28" s="197"/>
      <c r="E28" s="202">
        <v>0</v>
      </c>
      <c r="F28" s="203"/>
    </row>
    <row r="29" spans="1:6" ht="12.75">
      <c r="A29" s="190">
        <f>A28+1</f>
        <v>2018</v>
      </c>
      <c r="B29" s="191"/>
      <c r="C29" s="192">
        <f>('Quadro de Receitas'!H12)</f>
        <v>50000</v>
      </c>
      <c r="D29" s="193"/>
      <c r="E29" s="202">
        <v>0</v>
      </c>
      <c r="F29" s="203"/>
    </row>
    <row r="30" spans="1:6" ht="12.75">
      <c r="A30" s="190">
        <f>A29+1</f>
        <v>2019</v>
      </c>
      <c r="B30" s="191"/>
      <c r="C30" s="192">
        <f>('Quadro de Receitas'!I12)</f>
        <v>53500</v>
      </c>
      <c r="D30" s="193"/>
      <c r="E30" s="202">
        <f>(C30/(C29/100))-100</f>
        <v>7</v>
      </c>
      <c r="F30" s="203"/>
    </row>
    <row r="31" spans="1:6" ht="12.75">
      <c r="A31" s="190">
        <f>A30+1</f>
        <v>2020</v>
      </c>
      <c r="B31" s="191"/>
      <c r="C31" s="192">
        <f>('Quadro de Receitas'!J12)</f>
        <v>57245</v>
      </c>
      <c r="D31" s="193"/>
      <c r="E31" s="202">
        <f>(C31/(C30/100))-100</f>
        <v>7</v>
      </c>
      <c r="F31" s="203"/>
    </row>
    <row r="32" spans="1:6" ht="12.75">
      <c r="A32" s="204">
        <f>A31+1</f>
        <v>2021</v>
      </c>
      <c r="B32" s="205"/>
      <c r="C32" s="187">
        <f>('Quadro de Receitas'!K12)</f>
        <v>61252.15</v>
      </c>
      <c r="D32" s="188"/>
      <c r="E32" s="206">
        <f>(C32/(C31/100))-100</f>
        <v>7</v>
      </c>
      <c r="F32" s="207"/>
    </row>
    <row r="34" ht="12.75">
      <c r="A34" s="9" t="s">
        <v>30</v>
      </c>
    </row>
    <row r="35" spans="1:7" ht="12.75">
      <c r="A35" s="6" t="s">
        <v>236</v>
      </c>
      <c r="B35" s="6"/>
      <c r="C35" s="6"/>
      <c r="D35" s="6"/>
      <c r="E35" s="6"/>
      <c r="F35" s="6"/>
      <c r="G35" s="6"/>
    </row>
    <row r="36" spans="1:7" ht="12.75">
      <c r="A36" s="6" t="s">
        <v>237</v>
      </c>
      <c r="B36" s="6"/>
      <c r="C36" s="6"/>
      <c r="D36" s="6"/>
      <c r="E36" s="6"/>
      <c r="F36" s="6"/>
      <c r="G36" s="6"/>
    </row>
    <row r="37" spans="1:7" ht="12.75">
      <c r="A37" s="6" t="s">
        <v>223</v>
      </c>
      <c r="B37" s="6"/>
      <c r="C37" s="6"/>
      <c r="D37" s="6"/>
      <c r="E37" s="6"/>
      <c r="F37" s="6"/>
      <c r="G37" s="6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1:3" ht="12.75">
      <c r="A40" s="189" t="s">
        <v>33</v>
      </c>
      <c r="B40" s="189"/>
      <c r="C40" s="189"/>
    </row>
    <row r="42" spans="1:6" ht="12.75">
      <c r="A42" s="198" t="s">
        <v>27</v>
      </c>
      <c r="B42" s="199"/>
      <c r="C42" s="198" t="s">
        <v>28</v>
      </c>
      <c r="D42" s="199"/>
      <c r="E42" s="198" t="s">
        <v>29</v>
      </c>
      <c r="F42" s="199"/>
    </row>
    <row r="43" spans="1:6" ht="12.75">
      <c r="A43" s="194">
        <v>2016</v>
      </c>
      <c r="B43" s="195"/>
      <c r="C43" s="196">
        <f>('Quadro de Receitas'!F13)</f>
        <v>121807.94</v>
      </c>
      <c r="D43" s="197"/>
      <c r="E43" s="194"/>
      <c r="F43" s="195"/>
    </row>
    <row r="44" spans="1:6" ht="12.75">
      <c r="A44" s="190">
        <f>A43+1</f>
        <v>2017</v>
      </c>
      <c r="B44" s="191"/>
      <c r="C44" s="192">
        <f>('Quadro de Receitas'!G13)</f>
        <v>94011.27</v>
      </c>
      <c r="D44" s="193"/>
      <c r="E44" s="202">
        <v>0</v>
      </c>
      <c r="F44" s="203"/>
    </row>
    <row r="45" spans="1:6" ht="12.75">
      <c r="A45" s="190">
        <f>A44+1</f>
        <v>2018</v>
      </c>
      <c r="B45" s="191"/>
      <c r="C45" s="192">
        <f>('Quadro de Receitas'!H13)</f>
        <v>168500</v>
      </c>
      <c r="D45" s="193"/>
      <c r="E45" s="202">
        <f>(C45/(C44/100))-100</f>
        <v>79.23383015674611</v>
      </c>
      <c r="F45" s="203"/>
    </row>
    <row r="46" spans="1:6" ht="12.75">
      <c r="A46" s="190">
        <f>A45+1</f>
        <v>2019</v>
      </c>
      <c r="B46" s="191"/>
      <c r="C46" s="192">
        <f>('Quadro de Receitas'!I13)</f>
        <v>180295</v>
      </c>
      <c r="D46" s="193"/>
      <c r="E46" s="202">
        <f>(C46/(C45/100))-100</f>
        <v>7</v>
      </c>
      <c r="F46" s="203"/>
    </row>
    <row r="47" spans="1:6" ht="12.75">
      <c r="A47" s="190">
        <f>A46+1</f>
        <v>2020</v>
      </c>
      <c r="B47" s="191"/>
      <c r="C47" s="192">
        <f>('Quadro de Receitas'!J13)</f>
        <v>192915.65</v>
      </c>
      <c r="D47" s="193"/>
      <c r="E47" s="202">
        <f>(C47/(C46/100))-100</f>
        <v>7</v>
      </c>
      <c r="F47" s="203"/>
    </row>
    <row r="48" spans="1:6" ht="12.75">
      <c r="A48" s="204">
        <f>A47+1</f>
        <v>2021</v>
      </c>
      <c r="B48" s="205"/>
      <c r="C48" s="187">
        <f>('Quadro de Receitas'!K13)</f>
        <v>206419.7455</v>
      </c>
      <c r="D48" s="188"/>
      <c r="E48" s="206">
        <f>(C48/(C47/100))-100</f>
        <v>6.999999999999986</v>
      </c>
      <c r="F48" s="207"/>
    </row>
    <row r="50" ht="12.75">
      <c r="A50" s="9" t="s">
        <v>30</v>
      </c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 t="s">
        <v>235</v>
      </c>
      <c r="B52" s="6"/>
      <c r="C52" s="6"/>
      <c r="D52" s="6"/>
      <c r="E52" s="6"/>
      <c r="F52" s="6"/>
      <c r="G52" s="6"/>
    </row>
    <row r="53" spans="1:7" ht="12.75">
      <c r="A53" s="6" t="s">
        <v>223</v>
      </c>
      <c r="B53" s="6"/>
      <c r="C53" s="6"/>
      <c r="D53" s="6"/>
      <c r="E53" s="6"/>
      <c r="F53" s="6"/>
      <c r="G53" s="6"/>
    </row>
    <row r="59" spans="3:9" ht="15.75">
      <c r="C59" s="173" t="s">
        <v>252</v>
      </c>
      <c r="D59" s="173"/>
      <c r="E59" s="173"/>
      <c r="F59" s="173"/>
      <c r="G59" s="173"/>
      <c r="H59" s="173"/>
      <c r="I59" s="173"/>
    </row>
    <row r="60" spans="3:7" ht="12.75">
      <c r="C60" s="176" t="s">
        <v>21</v>
      </c>
      <c r="D60" s="176"/>
      <c r="E60" s="176"/>
      <c r="F60" s="176"/>
      <c r="G60" s="176"/>
    </row>
    <row r="61" spans="3:7" ht="12.75">
      <c r="C61" s="176" t="s">
        <v>22</v>
      </c>
      <c r="D61" s="176"/>
      <c r="E61" s="176"/>
      <c r="F61" s="176"/>
      <c r="G61" s="176"/>
    </row>
    <row r="62" spans="3:9" ht="12.75">
      <c r="C62" s="176" t="s">
        <v>23</v>
      </c>
      <c r="D62" s="176"/>
      <c r="E62" s="176"/>
      <c r="F62" s="176"/>
      <c r="G62" s="176"/>
      <c r="H62" s="176"/>
      <c r="I62" s="176"/>
    </row>
    <row r="63" spans="3:7" ht="12.75">
      <c r="C63" s="176" t="s">
        <v>24</v>
      </c>
      <c r="D63" s="176"/>
      <c r="E63" s="176"/>
      <c r="F63" s="176"/>
      <c r="G63" s="176"/>
    </row>
    <row r="64" spans="3:7" ht="12.75">
      <c r="C64" s="176" t="s">
        <v>25</v>
      </c>
      <c r="D64" s="176"/>
      <c r="E64" s="176"/>
      <c r="F64" s="176"/>
      <c r="G64" s="176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  <row r="66" spans="1:3" ht="12.75">
      <c r="A66" s="186" t="s">
        <v>37</v>
      </c>
      <c r="B66" s="186"/>
      <c r="C66" s="186"/>
    </row>
    <row r="68" spans="1:6" ht="12.75">
      <c r="A68" s="198" t="s">
        <v>27</v>
      </c>
      <c r="B68" s="199"/>
      <c r="C68" s="198" t="s">
        <v>28</v>
      </c>
      <c r="D68" s="199"/>
      <c r="E68" s="198" t="s">
        <v>29</v>
      </c>
      <c r="F68" s="199"/>
    </row>
    <row r="69" spans="1:6" ht="12.75">
      <c r="A69" s="194">
        <v>2016</v>
      </c>
      <c r="B69" s="195"/>
      <c r="C69" s="196">
        <f>('Quadro de Receitas'!F17)</f>
        <v>15498636.25</v>
      </c>
      <c r="D69" s="197"/>
      <c r="E69" s="200"/>
      <c r="F69" s="201"/>
    </row>
    <row r="70" spans="1:6" ht="12.75">
      <c r="A70" s="190">
        <f>A69+1</f>
        <v>2017</v>
      </c>
      <c r="B70" s="191"/>
      <c r="C70" s="192">
        <f>('Quadro de Receitas'!G17)</f>
        <v>15359612.38</v>
      </c>
      <c r="D70" s="193"/>
      <c r="E70" s="202">
        <v>0</v>
      </c>
      <c r="F70" s="203"/>
    </row>
    <row r="71" spans="1:6" ht="12.75">
      <c r="A71" s="190">
        <f>A70+1</f>
        <v>2018</v>
      </c>
      <c r="B71" s="191"/>
      <c r="C71" s="192">
        <f>('Quadro de Receitas'!H17)</f>
        <v>12549200</v>
      </c>
      <c r="D71" s="193"/>
      <c r="E71" s="202">
        <f>(C71/(C70/100))-100</f>
        <v>-18.297417346673953</v>
      </c>
      <c r="F71" s="203"/>
    </row>
    <row r="72" spans="1:6" ht="12.75">
      <c r="A72" s="190">
        <f>A71+1</f>
        <v>2019</v>
      </c>
      <c r="B72" s="191"/>
      <c r="C72" s="192">
        <f>('Quadro de Receitas'!I17)</f>
        <v>14566164</v>
      </c>
      <c r="D72" s="193"/>
      <c r="E72" s="202">
        <f>(C72/(C71/100))-100</f>
        <v>16.07245083351927</v>
      </c>
      <c r="F72" s="203"/>
    </row>
    <row r="73" spans="1:6" ht="12.75">
      <c r="A73" s="190">
        <f>A72+1</f>
        <v>2020</v>
      </c>
      <c r="B73" s="191"/>
      <c r="C73" s="192">
        <f>('Quadro de Receitas'!J17)</f>
        <v>15585793.13</v>
      </c>
      <c r="D73" s="193"/>
      <c r="E73" s="202">
        <f>(C73/(C72/100))-100</f>
        <v>6.999983866720157</v>
      </c>
      <c r="F73" s="203"/>
    </row>
    <row r="74" spans="1:6" ht="12.75">
      <c r="A74" s="204">
        <f>A73+1</f>
        <v>2021</v>
      </c>
      <c r="B74" s="205"/>
      <c r="C74" s="187">
        <f>('Quadro de Receitas'!K17)</f>
        <v>16676798.649100002</v>
      </c>
      <c r="D74" s="188"/>
      <c r="E74" s="206">
        <f>(C74/(C73/100))-100</f>
        <v>7.000000000000014</v>
      </c>
      <c r="F74" s="207"/>
    </row>
    <row r="76" ht="12.75">
      <c r="A76" s="9" t="s">
        <v>30</v>
      </c>
    </row>
    <row r="77" spans="1:9" ht="12.75">
      <c r="A77" s="12" t="s">
        <v>228</v>
      </c>
      <c r="B77" s="12"/>
      <c r="C77" s="12"/>
      <c r="D77" s="12"/>
      <c r="E77" s="12"/>
      <c r="F77" s="12"/>
      <c r="G77" s="12"/>
      <c r="H77" s="12"/>
      <c r="I77" s="12"/>
    </row>
    <row r="78" spans="1:9" ht="12.75">
      <c r="A78" s="12" t="s">
        <v>234</v>
      </c>
      <c r="B78" s="12"/>
      <c r="C78" s="12"/>
      <c r="D78" s="12"/>
      <c r="E78" s="12"/>
      <c r="F78" s="12"/>
      <c r="G78" s="12"/>
      <c r="H78" s="12"/>
      <c r="I78" s="12"/>
    </row>
    <row r="79" spans="1:7" ht="12.75">
      <c r="A79" s="6" t="s">
        <v>224</v>
      </c>
      <c r="B79" s="7"/>
      <c r="C79" s="7"/>
      <c r="D79" s="7"/>
      <c r="E79" s="7"/>
      <c r="F79" s="7"/>
      <c r="G79" s="7"/>
    </row>
    <row r="80" spans="1:9" ht="12.75">
      <c r="A80" s="176"/>
      <c r="B80" s="176"/>
      <c r="C80" s="176"/>
      <c r="D80" s="176"/>
      <c r="E80" s="176"/>
      <c r="F80" s="176"/>
      <c r="G80" s="176"/>
      <c r="H80" s="176"/>
      <c r="I80" s="176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8"/>
      <c r="B83" s="8"/>
      <c r="C83" s="8"/>
      <c r="D83" s="8"/>
      <c r="E83" s="8"/>
      <c r="F83" s="8"/>
      <c r="G83" s="8"/>
      <c r="H83" s="8"/>
      <c r="I83" s="8"/>
    </row>
    <row r="84" spans="1:3" ht="12.75">
      <c r="A84" s="186" t="s">
        <v>38</v>
      </c>
      <c r="B84" s="186"/>
      <c r="C84" s="186"/>
    </row>
    <row r="86" spans="1:6" ht="12.75">
      <c r="A86" s="198" t="s">
        <v>27</v>
      </c>
      <c r="B86" s="199"/>
      <c r="C86" s="198" t="s">
        <v>28</v>
      </c>
      <c r="D86" s="199"/>
      <c r="E86" s="198" t="s">
        <v>29</v>
      </c>
      <c r="F86" s="199"/>
    </row>
    <row r="87" spans="1:6" ht="12.75">
      <c r="A87" s="194">
        <v>2016</v>
      </c>
      <c r="B87" s="195"/>
      <c r="C87" s="196">
        <f>('Quadro de Receitas'!F18)</f>
        <v>36111.87</v>
      </c>
      <c r="D87" s="197"/>
      <c r="E87" s="194">
        <v>0</v>
      </c>
      <c r="F87" s="195"/>
    </row>
    <row r="88" spans="1:6" ht="12.75">
      <c r="A88" s="190">
        <f>A87+1</f>
        <v>2017</v>
      </c>
      <c r="B88" s="191"/>
      <c r="C88" s="192">
        <f>('Quadro de Receitas'!G18)</f>
        <v>16547.9</v>
      </c>
      <c r="D88" s="193"/>
      <c r="E88" s="202">
        <v>0</v>
      </c>
      <c r="F88" s="203"/>
    </row>
    <row r="89" spans="1:6" ht="12.75">
      <c r="A89" s="190">
        <f>A88+1</f>
        <v>2018</v>
      </c>
      <c r="B89" s="191"/>
      <c r="C89" s="192">
        <f>('Quadro de Receitas'!H18)</f>
        <v>52000</v>
      </c>
      <c r="D89" s="193"/>
      <c r="E89" s="202">
        <v>0</v>
      </c>
      <c r="F89" s="203"/>
    </row>
    <row r="90" spans="1:6" ht="12.75">
      <c r="A90" s="190">
        <f>A89+1</f>
        <v>2019</v>
      </c>
      <c r="B90" s="191"/>
      <c r="C90" s="192">
        <f>('Quadro de Receitas'!I18)</f>
        <v>55640</v>
      </c>
      <c r="D90" s="193"/>
      <c r="E90" s="202">
        <f>(C90/(C89/100))-100</f>
        <v>7</v>
      </c>
      <c r="F90" s="203"/>
    </row>
    <row r="91" spans="1:6" ht="12.75">
      <c r="A91" s="190">
        <f>A90+1</f>
        <v>2020</v>
      </c>
      <c r="B91" s="191"/>
      <c r="C91" s="192">
        <f>('Quadro de Receitas'!J18)</f>
        <v>59534.8</v>
      </c>
      <c r="D91" s="193"/>
      <c r="E91" s="202">
        <f>(C91/(C90/100))-100</f>
        <v>7.000000000000014</v>
      </c>
      <c r="F91" s="203"/>
    </row>
    <row r="92" spans="1:6" ht="12.75">
      <c r="A92" s="204">
        <f>A91+1</f>
        <v>2021</v>
      </c>
      <c r="B92" s="205"/>
      <c r="C92" s="187">
        <f>('Quadro de Receitas'!K18)</f>
        <v>63702.236000000004</v>
      </c>
      <c r="D92" s="188"/>
      <c r="E92" s="206">
        <f>(C92/(C91/100))-100</f>
        <v>7</v>
      </c>
      <c r="F92" s="207"/>
    </row>
    <row r="94" ht="12.75">
      <c r="A94" s="9" t="s">
        <v>30</v>
      </c>
    </row>
    <row r="95" spans="1:9" ht="12.75">
      <c r="A95" s="12" t="s">
        <v>228</v>
      </c>
      <c r="B95" s="12"/>
      <c r="C95" s="12"/>
      <c r="D95" s="12"/>
      <c r="E95" s="12"/>
      <c r="F95" s="12"/>
      <c r="G95" s="12"/>
      <c r="H95" s="12"/>
      <c r="I95" s="12"/>
    </row>
    <row r="96" spans="1:9" ht="12.75">
      <c r="A96" s="12" t="s">
        <v>238</v>
      </c>
      <c r="B96" s="12"/>
      <c r="C96" s="12"/>
      <c r="D96" s="12"/>
      <c r="E96" s="12"/>
      <c r="F96" s="12"/>
      <c r="G96" s="12"/>
      <c r="H96" s="12"/>
      <c r="I96" s="12"/>
    </row>
    <row r="97" spans="1:7" ht="12.75">
      <c r="A97" s="6" t="s">
        <v>225</v>
      </c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9" ht="12.75">
      <c r="A99" s="78"/>
      <c r="B99" s="78"/>
      <c r="C99" s="78"/>
      <c r="D99" s="78"/>
      <c r="E99" s="78"/>
      <c r="F99" s="78"/>
      <c r="G99" s="78"/>
      <c r="H99" s="8"/>
      <c r="I99" s="8"/>
    </row>
    <row r="100" spans="1:3" ht="12.75">
      <c r="A100" s="208" t="s">
        <v>211</v>
      </c>
      <c r="B100" s="208"/>
      <c r="C100" s="208"/>
    </row>
    <row r="102" spans="1:6" ht="12.75">
      <c r="A102" s="198" t="s">
        <v>27</v>
      </c>
      <c r="B102" s="199"/>
      <c r="C102" s="198" t="s">
        <v>28</v>
      </c>
      <c r="D102" s="199"/>
      <c r="E102" s="198" t="s">
        <v>29</v>
      </c>
      <c r="F102" s="199"/>
    </row>
    <row r="103" spans="1:6" ht="12.75">
      <c r="A103" s="194">
        <v>2016</v>
      </c>
      <c r="B103" s="195"/>
      <c r="C103" s="196">
        <f>'Quadro de Receitas'!F20</f>
        <v>0</v>
      </c>
      <c r="D103" s="197"/>
      <c r="E103" s="200"/>
      <c r="F103" s="201"/>
    </row>
    <row r="104" spans="1:6" ht="12.75">
      <c r="A104" s="190">
        <f>A103+1</f>
        <v>2017</v>
      </c>
      <c r="B104" s="191"/>
      <c r="C104" s="192">
        <f>('Quadro de Receitas'!G20)</f>
        <v>0</v>
      </c>
      <c r="D104" s="193"/>
      <c r="E104" s="202">
        <v>0</v>
      </c>
      <c r="F104" s="203"/>
    </row>
    <row r="105" spans="1:6" ht="12.75">
      <c r="A105" s="190">
        <f>A104+1</f>
        <v>2018</v>
      </c>
      <c r="B105" s="191"/>
      <c r="C105" s="192">
        <f>('Quadro de Receitas'!H20)</f>
        <v>0</v>
      </c>
      <c r="D105" s="193"/>
      <c r="E105" s="202">
        <v>0</v>
      </c>
      <c r="F105" s="203"/>
    </row>
    <row r="106" spans="1:6" ht="12.75">
      <c r="A106" s="190">
        <f>A105+1</f>
        <v>2019</v>
      </c>
      <c r="B106" s="191"/>
      <c r="C106" s="192">
        <f>('Quadro de Receitas'!I20)</f>
        <v>0</v>
      </c>
      <c r="D106" s="193"/>
      <c r="E106" s="202">
        <v>0</v>
      </c>
      <c r="F106" s="203"/>
    </row>
    <row r="107" spans="1:6" ht="12.75">
      <c r="A107" s="190">
        <f>A106+1</f>
        <v>2020</v>
      </c>
      <c r="B107" s="191"/>
      <c r="C107" s="192">
        <f>('Quadro de Receitas'!J20)</f>
        <v>0</v>
      </c>
      <c r="D107" s="193"/>
      <c r="E107" s="202">
        <v>0</v>
      </c>
      <c r="F107" s="203"/>
    </row>
    <row r="108" spans="1:6" ht="12.75">
      <c r="A108" s="204">
        <f>A107+1</f>
        <v>2021</v>
      </c>
      <c r="B108" s="205"/>
      <c r="C108" s="187">
        <f>('Quadro de Receitas'!K20)</f>
        <v>0</v>
      </c>
      <c r="D108" s="188"/>
      <c r="E108" s="206">
        <v>0</v>
      </c>
      <c r="F108" s="207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88" t="s">
        <v>30</v>
      </c>
      <c r="B110" s="6"/>
      <c r="C110" s="6"/>
      <c r="D110" s="6"/>
      <c r="E110" s="6"/>
      <c r="F110" s="6"/>
      <c r="G110" s="6"/>
    </row>
    <row r="111" spans="1:7" ht="12.75">
      <c r="A111" s="6" t="s">
        <v>212</v>
      </c>
      <c r="B111" s="6"/>
      <c r="C111" s="6"/>
      <c r="D111" s="6"/>
      <c r="E111" s="6"/>
      <c r="F111" s="6"/>
      <c r="G111" s="6"/>
    </row>
    <row r="112" spans="1:7" ht="12.75">
      <c r="A112" s="6" t="s">
        <v>239</v>
      </c>
      <c r="B112" s="6"/>
      <c r="C112" s="6"/>
      <c r="D112" s="6"/>
      <c r="E112" s="6"/>
      <c r="F112" s="6"/>
      <c r="G112" s="6"/>
    </row>
    <row r="113" spans="1:7" ht="12.75">
      <c r="A113" s="6" t="s">
        <v>213</v>
      </c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9" ht="15.75">
      <c r="A119" s="3"/>
      <c r="B119" s="3"/>
      <c r="C119" s="173" t="s">
        <v>253</v>
      </c>
      <c r="D119" s="173"/>
      <c r="E119" s="173"/>
      <c r="F119" s="173"/>
      <c r="G119" s="173"/>
      <c r="H119" s="173"/>
      <c r="I119" s="173"/>
    </row>
    <row r="120" spans="3:7" ht="12.75">
      <c r="C120" s="176" t="s">
        <v>21</v>
      </c>
      <c r="D120" s="176"/>
      <c r="E120" s="176"/>
      <c r="F120" s="176"/>
      <c r="G120" s="176"/>
    </row>
    <row r="121" spans="3:7" ht="12.75">
      <c r="C121" s="176" t="s">
        <v>22</v>
      </c>
      <c r="D121" s="176"/>
      <c r="E121" s="176"/>
      <c r="F121" s="176"/>
      <c r="G121" s="176"/>
    </row>
    <row r="122" spans="3:9" ht="12.75">
      <c r="C122" s="176" t="s">
        <v>23</v>
      </c>
      <c r="D122" s="176"/>
      <c r="E122" s="176"/>
      <c r="F122" s="176"/>
      <c r="G122" s="176"/>
      <c r="H122" s="176"/>
      <c r="I122" s="176"/>
    </row>
    <row r="123" spans="3:7" ht="12.75">
      <c r="C123" s="176" t="s">
        <v>24</v>
      </c>
      <c r="D123" s="176"/>
      <c r="E123" s="176"/>
      <c r="F123" s="176"/>
      <c r="G123" s="176"/>
    </row>
    <row r="124" spans="3:7" ht="12.75">
      <c r="C124" s="176" t="s">
        <v>25</v>
      </c>
      <c r="D124" s="176"/>
      <c r="E124" s="176"/>
      <c r="F124" s="176"/>
      <c r="G124" s="176"/>
    </row>
    <row r="125" spans="1:9" ht="12.75">
      <c r="A125" s="8"/>
      <c r="B125" s="8"/>
      <c r="C125" s="8"/>
      <c r="D125" s="8"/>
      <c r="E125" s="8"/>
      <c r="F125" s="8"/>
      <c r="G125" s="8"/>
      <c r="H125" s="8"/>
      <c r="I125" s="8"/>
    </row>
    <row r="126" spans="1:3" ht="12.75">
      <c r="A126" s="186" t="s">
        <v>39</v>
      </c>
      <c r="B126" s="186"/>
      <c r="C126" s="186"/>
    </row>
    <row r="128" spans="1:6" ht="12.75">
      <c r="A128" s="198" t="s">
        <v>27</v>
      </c>
      <c r="B128" s="199"/>
      <c r="C128" s="198" t="s">
        <v>28</v>
      </c>
      <c r="D128" s="199"/>
      <c r="E128" s="198" t="s">
        <v>29</v>
      </c>
      <c r="F128" s="199"/>
    </row>
    <row r="129" spans="1:6" ht="12.75">
      <c r="A129" s="194">
        <v>2016</v>
      </c>
      <c r="B129" s="195"/>
      <c r="C129" s="196">
        <f>('Quadro de Receitas'!F21)</f>
        <v>0</v>
      </c>
      <c r="D129" s="197"/>
      <c r="E129" s="200"/>
      <c r="F129" s="201"/>
    </row>
    <row r="130" spans="1:6" ht="12.75">
      <c r="A130" s="190">
        <f>A129+1</f>
        <v>2017</v>
      </c>
      <c r="B130" s="191"/>
      <c r="C130" s="192">
        <f>('Quadro de Receitas'!G21)</f>
        <v>0</v>
      </c>
      <c r="D130" s="193"/>
      <c r="E130" s="202">
        <v>0</v>
      </c>
      <c r="F130" s="203"/>
    </row>
    <row r="131" spans="1:6" ht="12.75">
      <c r="A131" s="190">
        <f>A130+1</f>
        <v>2018</v>
      </c>
      <c r="B131" s="191"/>
      <c r="C131" s="192">
        <f>('Quadro de Receitas'!H21)</f>
        <v>108000</v>
      </c>
      <c r="D131" s="193"/>
      <c r="E131" s="202">
        <v>0</v>
      </c>
      <c r="F131" s="203"/>
    </row>
    <row r="132" spans="1:6" ht="12.75">
      <c r="A132" s="190">
        <f>A131+1</f>
        <v>2019</v>
      </c>
      <c r="B132" s="191"/>
      <c r="C132" s="192">
        <f>('Quadro de Receitas'!I21)</f>
        <v>115560</v>
      </c>
      <c r="D132" s="193"/>
      <c r="E132" s="202">
        <f>(C132/(C131/100))-100</f>
        <v>7</v>
      </c>
      <c r="F132" s="203"/>
    </row>
    <row r="133" spans="1:6" ht="12.75">
      <c r="A133" s="190">
        <f>A132+1</f>
        <v>2020</v>
      </c>
      <c r="B133" s="191"/>
      <c r="C133" s="192">
        <f>('Quadro de Receitas'!J21)</f>
        <v>123649.2</v>
      </c>
      <c r="D133" s="193"/>
      <c r="E133" s="202">
        <f>(C133/(C132/100))-100</f>
        <v>7</v>
      </c>
      <c r="F133" s="203"/>
    </row>
    <row r="134" spans="1:6" ht="12.75">
      <c r="A134" s="204">
        <f>A133+1</f>
        <v>2021</v>
      </c>
      <c r="B134" s="205"/>
      <c r="C134" s="187">
        <f>('Quadro de Receitas'!K21)</f>
        <v>132304.644</v>
      </c>
      <c r="D134" s="188"/>
      <c r="E134" s="206">
        <f>(C134/(C133/100))-100</f>
        <v>7</v>
      </c>
      <c r="F134" s="207"/>
    </row>
    <row r="135" spans="1:6" ht="12.75">
      <c r="A135" s="74"/>
      <c r="B135" s="74"/>
      <c r="C135" s="75"/>
      <c r="D135" s="75"/>
      <c r="E135" s="76"/>
      <c r="F135" s="76"/>
    </row>
    <row r="136" spans="1:6" ht="12.75">
      <c r="A136" s="77" t="s">
        <v>30</v>
      </c>
      <c r="B136" s="74"/>
      <c r="C136" s="75"/>
      <c r="D136" s="75"/>
      <c r="E136" s="76"/>
      <c r="F136" s="76"/>
    </row>
    <row r="137" spans="1:6" ht="12.75">
      <c r="A137" s="6" t="s">
        <v>212</v>
      </c>
      <c r="B137" s="74"/>
      <c r="C137" s="75"/>
      <c r="D137" s="75"/>
      <c r="E137" s="76"/>
      <c r="F137" s="76"/>
    </row>
    <row r="138" spans="1:6" ht="12.75">
      <c r="A138" s="40" t="s">
        <v>214</v>
      </c>
      <c r="B138" s="74"/>
      <c r="C138" s="75"/>
      <c r="D138" s="75"/>
      <c r="E138" s="76"/>
      <c r="F138" s="76"/>
    </row>
    <row r="139" spans="1:6" ht="12.75">
      <c r="A139" s="74"/>
      <c r="B139" s="74"/>
      <c r="C139" s="75"/>
      <c r="D139" s="75"/>
      <c r="E139" s="76"/>
      <c r="F139" s="76"/>
    </row>
    <row r="140" spans="1:6" ht="12.75">
      <c r="A140" s="74"/>
      <c r="B140" s="74"/>
      <c r="C140" s="75"/>
      <c r="D140" s="75"/>
      <c r="E140" s="76"/>
      <c r="F140" s="76"/>
    </row>
    <row r="141" spans="1:9" ht="12.75">
      <c r="A141" s="79"/>
      <c r="B141" s="79"/>
      <c r="C141" s="86"/>
      <c r="D141" s="86"/>
      <c r="E141" s="87"/>
      <c r="F141" s="87"/>
      <c r="G141" s="8"/>
      <c r="H141" s="8"/>
      <c r="I141" s="8"/>
    </row>
    <row r="142" spans="1:4" ht="12.75">
      <c r="A142" s="186" t="s">
        <v>40</v>
      </c>
      <c r="B142" s="186"/>
      <c r="C142" s="186"/>
      <c r="D142" s="186"/>
    </row>
    <row r="144" spans="1:6" ht="12.75">
      <c r="A144" s="198" t="s">
        <v>27</v>
      </c>
      <c r="B144" s="199"/>
      <c r="C144" s="198" t="s">
        <v>28</v>
      </c>
      <c r="D144" s="199"/>
      <c r="E144" s="198" t="s">
        <v>29</v>
      </c>
      <c r="F144" s="199"/>
    </row>
    <row r="145" spans="1:6" ht="12.75">
      <c r="A145" s="194">
        <v>2016</v>
      </c>
      <c r="B145" s="195"/>
      <c r="C145" s="196">
        <f>('Quadro de Receitas'!F23)</f>
        <v>941751.2</v>
      </c>
      <c r="D145" s="197"/>
      <c r="E145" s="194"/>
      <c r="F145" s="195"/>
    </row>
    <row r="146" spans="1:6" ht="12.75">
      <c r="A146" s="190">
        <f>A145+1</f>
        <v>2017</v>
      </c>
      <c r="B146" s="191"/>
      <c r="C146" s="192">
        <f>('Quadro de Receitas'!G23)</f>
        <v>4066.13</v>
      </c>
      <c r="D146" s="193"/>
      <c r="E146" s="202">
        <v>0</v>
      </c>
      <c r="F146" s="203"/>
    </row>
    <row r="147" spans="1:6" ht="12.75">
      <c r="A147" s="190">
        <f>A146+1</f>
        <v>2018</v>
      </c>
      <c r="B147" s="191"/>
      <c r="C147" s="192">
        <f>('Quadro de Receitas'!H23)</f>
        <v>12234000</v>
      </c>
      <c r="D147" s="193"/>
      <c r="E147" s="202">
        <v>0</v>
      </c>
      <c r="F147" s="203"/>
    </row>
    <row r="148" spans="1:6" ht="12.75">
      <c r="A148" s="190">
        <f>A147+1</f>
        <v>2019</v>
      </c>
      <c r="B148" s="191"/>
      <c r="C148" s="192">
        <f>('Quadro de Receitas'!I23)</f>
        <v>11951857.6</v>
      </c>
      <c r="D148" s="193"/>
      <c r="E148" s="202">
        <f>(C148/(C147/100))-100</f>
        <v>-2.3062154650972673</v>
      </c>
      <c r="F148" s="203"/>
    </row>
    <row r="149" spans="1:6" ht="12.75">
      <c r="A149" s="190">
        <f>A148+1</f>
        <v>2020</v>
      </c>
      <c r="B149" s="191"/>
      <c r="C149" s="192">
        <f>('Quadro de Receitas'!J23)</f>
        <v>12788489.952</v>
      </c>
      <c r="D149" s="193"/>
      <c r="E149" s="202">
        <f>(C149/(C148/100))-100</f>
        <v>7.000019411208513</v>
      </c>
      <c r="F149" s="203"/>
    </row>
    <row r="150" spans="1:6" ht="12.75">
      <c r="A150" s="204">
        <f>A149+1</f>
        <v>2021</v>
      </c>
      <c r="B150" s="205"/>
      <c r="C150" s="187">
        <f>('Quadro de Receitas'!K23)</f>
        <v>13224582.788639998</v>
      </c>
      <c r="D150" s="188"/>
      <c r="E150" s="206">
        <f>(C150/(C149/100))-100</f>
        <v>3.4100416724477896</v>
      </c>
      <c r="F150" s="207"/>
    </row>
    <row r="152" ht="12.75">
      <c r="A152" s="9" t="s">
        <v>30</v>
      </c>
    </row>
    <row r="153" spans="1:8" ht="12.75">
      <c r="A153" s="7" t="s">
        <v>215</v>
      </c>
      <c r="B153" s="7"/>
      <c r="C153" s="7"/>
      <c r="D153" s="7"/>
      <c r="E153" s="7"/>
      <c r="F153" s="7"/>
      <c r="G153" s="7"/>
      <c r="H153" s="7"/>
    </row>
    <row r="154" ht="12.75">
      <c r="A154" t="s">
        <v>216</v>
      </c>
    </row>
    <row r="157" spans="1:9" ht="12.75">
      <c r="A157" s="89"/>
      <c r="B157" s="8"/>
      <c r="C157" s="8"/>
      <c r="D157" s="8"/>
      <c r="E157" s="8"/>
      <c r="F157" s="8"/>
      <c r="G157" s="8"/>
      <c r="H157" s="8"/>
      <c r="I157" s="8"/>
    </row>
    <row r="158" spans="1:7" ht="12.75">
      <c r="A158" s="186" t="s">
        <v>72</v>
      </c>
      <c r="B158" s="186"/>
      <c r="C158" s="186"/>
      <c r="D158" s="186"/>
      <c r="E158" s="209"/>
      <c r="F158" s="209"/>
      <c r="G158" s="209"/>
    </row>
    <row r="160" spans="1:6" ht="12.75">
      <c r="A160" s="198" t="s">
        <v>27</v>
      </c>
      <c r="B160" s="199"/>
      <c r="C160" s="194" t="s">
        <v>28</v>
      </c>
      <c r="D160" s="195"/>
      <c r="E160" s="198" t="s">
        <v>29</v>
      </c>
      <c r="F160" s="199"/>
    </row>
    <row r="161" spans="1:6" ht="12.75">
      <c r="A161" s="194">
        <v>2016</v>
      </c>
      <c r="B161" s="195"/>
      <c r="C161" s="196">
        <f>('Quadro de Receitas'!F39)</f>
        <v>0</v>
      </c>
      <c r="D161" s="197"/>
      <c r="E161" s="194"/>
      <c r="F161" s="195"/>
    </row>
    <row r="162" spans="1:6" ht="12.75">
      <c r="A162" s="190">
        <f>A161+1</f>
        <v>2017</v>
      </c>
      <c r="B162" s="191"/>
      <c r="C162" s="192">
        <f>('Quadro de Receitas'!F40)</f>
        <v>0</v>
      </c>
      <c r="D162" s="193"/>
      <c r="E162" s="202">
        <v>0</v>
      </c>
      <c r="F162" s="203"/>
    </row>
    <row r="163" spans="1:6" ht="12.75">
      <c r="A163" s="190">
        <f>A162+1</f>
        <v>2018</v>
      </c>
      <c r="B163" s="191"/>
      <c r="C163" s="192">
        <f>('Quadro de Receitas'!F41)</f>
        <v>0</v>
      </c>
      <c r="D163" s="193"/>
      <c r="E163" s="202">
        <v>0</v>
      </c>
      <c r="F163" s="203"/>
    </row>
    <row r="164" spans="1:6" ht="12.75">
      <c r="A164" s="190">
        <f>A163+1</f>
        <v>2019</v>
      </c>
      <c r="B164" s="191"/>
      <c r="C164" s="192">
        <f>('Quadro de Receitas'!F42)</f>
        <v>0</v>
      </c>
      <c r="D164" s="193"/>
      <c r="E164" s="202">
        <v>0</v>
      </c>
      <c r="F164" s="203"/>
    </row>
    <row r="165" spans="1:6" ht="12.75">
      <c r="A165" s="190">
        <f>A164+1</f>
        <v>2020</v>
      </c>
      <c r="B165" s="191"/>
      <c r="C165" s="192">
        <f>('Quadro de Receitas'!F43)</f>
        <v>0</v>
      </c>
      <c r="D165" s="193"/>
      <c r="E165" s="202">
        <v>0</v>
      </c>
      <c r="F165" s="203"/>
    </row>
    <row r="166" spans="1:6" ht="12.75">
      <c r="A166" s="204">
        <f>A165+1</f>
        <v>2021</v>
      </c>
      <c r="B166" s="205"/>
      <c r="C166" s="187">
        <f>('Quadro de Receitas'!F44)</f>
        <v>0</v>
      </c>
      <c r="D166" s="188"/>
      <c r="E166" s="206">
        <v>0</v>
      </c>
      <c r="F166" s="207"/>
    </row>
    <row r="168" ht="12.75">
      <c r="A168" s="77" t="s">
        <v>30</v>
      </c>
    </row>
    <row r="169" ht="12.75">
      <c r="A169" s="6" t="s">
        <v>212</v>
      </c>
    </row>
    <row r="170" ht="12.75">
      <c r="A170" s="40" t="s">
        <v>214</v>
      </c>
    </row>
  </sheetData>
  <sheetProtection/>
  <mergeCells count="217">
    <mergeCell ref="C1:J1"/>
    <mergeCell ref="C123:G123"/>
    <mergeCell ref="C124:G124"/>
    <mergeCell ref="C120:G120"/>
    <mergeCell ref="C121:G121"/>
    <mergeCell ref="C122:I122"/>
    <mergeCell ref="C119:I119"/>
    <mergeCell ref="E103:F103"/>
    <mergeCell ref="E86:F86"/>
    <mergeCell ref="E70:F70"/>
    <mergeCell ref="A107:B107"/>
    <mergeCell ref="C107:D107"/>
    <mergeCell ref="E107:F107"/>
    <mergeCell ref="A108:B108"/>
    <mergeCell ref="C108:D108"/>
    <mergeCell ref="E108:F108"/>
    <mergeCell ref="A105:B105"/>
    <mergeCell ref="C105:D105"/>
    <mergeCell ref="E105:F105"/>
    <mergeCell ref="A106:B106"/>
    <mergeCell ref="C106:D106"/>
    <mergeCell ref="E106:F106"/>
    <mergeCell ref="A104:B104"/>
    <mergeCell ref="C104:D104"/>
    <mergeCell ref="E104:F104"/>
    <mergeCell ref="A160:B160"/>
    <mergeCell ref="C160:D160"/>
    <mergeCell ref="E160:F160"/>
    <mergeCell ref="E158:G158"/>
    <mergeCell ref="A149:B149"/>
    <mergeCell ref="C149:D149"/>
    <mergeCell ref="E149:F149"/>
    <mergeCell ref="A166:B166"/>
    <mergeCell ref="C166:D166"/>
    <mergeCell ref="E166:F166"/>
    <mergeCell ref="A165:B165"/>
    <mergeCell ref="C165:D165"/>
    <mergeCell ref="E165:F165"/>
    <mergeCell ref="A164:B164"/>
    <mergeCell ref="C164:D164"/>
    <mergeCell ref="E164:F164"/>
    <mergeCell ref="A163:B163"/>
    <mergeCell ref="C163:D163"/>
    <mergeCell ref="E163:F163"/>
    <mergeCell ref="A162:B162"/>
    <mergeCell ref="C162:D162"/>
    <mergeCell ref="E162:F162"/>
    <mergeCell ref="A161:B161"/>
    <mergeCell ref="C161:D161"/>
    <mergeCell ref="E161:F161"/>
    <mergeCell ref="A150:B150"/>
    <mergeCell ref="C150:D150"/>
    <mergeCell ref="E150:F150"/>
    <mergeCell ref="A158:D158"/>
    <mergeCell ref="A146:B146"/>
    <mergeCell ref="C146:D146"/>
    <mergeCell ref="E146:F146"/>
    <mergeCell ref="C148:D148"/>
    <mergeCell ref="E148:F148"/>
    <mergeCell ref="A147:B147"/>
    <mergeCell ref="C147:D147"/>
    <mergeCell ref="E147:F147"/>
    <mergeCell ref="A148:B148"/>
    <mergeCell ref="E134:F134"/>
    <mergeCell ref="E144:F144"/>
    <mergeCell ref="A145:B145"/>
    <mergeCell ref="C145:D145"/>
    <mergeCell ref="E145:F145"/>
    <mergeCell ref="A144:B144"/>
    <mergeCell ref="C144:D144"/>
    <mergeCell ref="A142:D142"/>
    <mergeCell ref="C132:D132"/>
    <mergeCell ref="A133:B133"/>
    <mergeCell ref="C133:D133"/>
    <mergeCell ref="C134:D134"/>
    <mergeCell ref="E133:F133"/>
    <mergeCell ref="A134:B134"/>
    <mergeCell ref="E132:F132"/>
    <mergeCell ref="A132:B132"/>
    <mergeCell ref="A130:B130"/>
    <mergeCell ref="C130:D130"/>
    <mergeCell ref="E130:F130"/>
    <mergeCell ref="A131:B131"/>
    <mergeCell ref="C131:D131"/>
    <mergeCell ref="E131:F131"/>
    <mergeCell ref="A128:B128"/>
    <mergeCell ref="C128:D128"/>
    <mergeCell ref="E128:F128"/>
    <mergeCell ref="A129:B129"/>
    <mergeCell ref="C129:D129"/>
    <mergeCell ref="E129:F129"/>
    <mergeCell ref="A92:B92"/>
    <mergeCell ref="C92:D92"/>
    <mergeCell ref="E92:F92"/>
    <mergeCell ref="A126:C126"/>
    <mergeCell ref="A100:C100"/>
    <mergeCell ref="A102:B102"/>
    <mergeCell ref="C102:D102"/>
    <mergeCell ref="E102:F102"/>
    <mergeCell ref="A103:B103"/>
    <mergeCell ref="C103:D103"/>
    <mergeCell ref="A91:B91"/>
    <mergeCell ref="C91:D91"/>
    <mergeCell ref="E91:F91"/>
    <mergeCell ref="A90:B90"/>
    <mergeCell ref="C90:D90"/>
    <mergeCell ref="E90:F90"/>
    <mergeCell ref="C89:D89"/>
    <mergeCell ref="E89:F89"/>
    <mergeCell ref="A88:B88"/>
    <mergeCell ref="C88:D88"/>
    <mergeCell ref="E88:F88"/>
    <mergeCell ref="C86:D86"/>
    <mergeCell ref="A87:B87"/>
    <mergeCell ref="C87:D87"/>
    <mergeCell ref="E87:F87"/>
    <mergeCell ref="A89:B89"/>
    <mergeCell ref="A73:B73"/>
    <mergeCell ref="C74:D74"/>
    <mergeCell ref="E74:F74"/>
    <mergeCell ref="C73:D73"/>
    <mergeCell ref="A84:C84"/>
    <mergeCell ref="A86:B86"/>
    <mergeCell ref="A74:B74"/>
    <mergeCell ref="A80:I80"/>
    <mergeCell ref="E73:F73"/>
    <mergeCell ref="A71:B71"/>
    <mergeCell ref="C71:D71"/>
    <mergeCell ref="E71:F71"/>
    <mergeCell ref="C72:D72"/>
    <mergeCell ref="A68:B68"/>
    <mergeCell ref="C68:D68"/>
    <mergeCell ref="E68:F68"/>
    <mergeCell ref="E72:F72"/>
    <mergeCell ref="A72:B72"/>
    <mergeCell ref="A69:B69"/>
    <mergeCell ref="C69:D69"/>
    <mergeCell ref="E69:F69"/>
    <mergeCell ref="A70:B70"/>
    <mergeCell ref="C70:D70"/>
    <mergeCell ref="E42:F42"/>
    <mergeCell ref="E46:F46"/>
    <mergeCell ref="E43:F43"/>
    <mergeCell ref="E45:F45"/>
    <mergeCell ref="C64:G64"/>
    <mergeCell ref="E44:F44"/>
    <mergeCell ref="A66:C66"/>
    <mergeCell ref="A46:B46"/>
    <mergeCell ref="C46:D46"/>
    <mergeCell ref="A48:B48"/>
    <mergeCell ref="E47:F47"/>
    <mergeCell ref="E48:F48"/>
    <mergeCell ref="C47:D47"/>
    <mergeCell ref="C62:I62"/>
    <mergeCell ref="A44:B44"/>
    <mergeCell ref="E15:F15"/>
    <mergeCell ref="E16:F16"/>
    <mergeCell ref="E29:F29"/>
    <mergeCell ref="E30:F30"/>
    <mergeCell ref="E26:F26"/>
    <mergeCell ref="E27:F27"/>
    <mergeCell ref="C32:D32"/>
    <mergeCell ref="C26:D26"/>
    <mergeCell ref="A27:B27"/>
    <mergeCell ref="C27:D27"/>
    <mergeCell ref="A31:B31"/>
    <mergeCell ref="A29:B29"/>
    <mergeCell ref="C29:D29"/>
    <mergeCell ref="A30:B30"/>
    <mergeCell ref="C30:D30"/>
    <mergeCell ref="C31:D31"/>
    <mergeCell ref="A26:B26"/>
    <mergeCell ref="A28:B28"/>
    <mergeCell ref="C28:D28"/>
    <mergeCell ref="E28:F28"/>
    <mergeCell ref="C44:D44"/>
    <mergeCell ref="A42:B42"/>
    <mergeCell ref="C42:D42"/>
    <mergeCell ref="A32:B32"/>
    <mergeCell ref="E31:F31"/>
    <mergeCell ref="E32:F32"/>
    <mergeCell ref="E13:F13"/>
    <mergeCell ref="E14:F14"/>
    <mergeCell ref="A16:B16"/>
    <mergeCell ref="C11:D11"/>
    <mergeCell ref="C15:D15"/>
    <mergeCell ref="A15:B15"/>
    <mergeCell ref="C2:G2"/>
    <mergeCell ref="C3:G3"/>
    <mergeCell ref="A10:B10"/>
    <mergeCell ref="C10:D10"/>
    <mergeCell ref="C16:D16"/>
    <mergeCell ref="A11:B11"/>
    <mergeCell ref="A12:B12"/>
    <mergeCell ref="A13:B13"/>
    <mergeCell ref="A14:B14"/>
    <mergeCell ref="C12:D12"/>
    <mergeCell ref="A43:B43"/>
    <mergeCell ref="C43:D43"/>
    <mergeCell ref="C5:G5"/>
    <mergeCell ref="C6:G6"/>
    <mergeCell ref="C4:I4"/>
    <mergeCell ref="E10:F10"/>
    <mergeCell ref="C13:D13"/>
    <mergeCell ref="C14:D14"/>
    <mergeCell ref="E11:F11"/>
    <mergeCell ref="E12:F12"/>
    <mergeCell ref="A8:B8"/>
    <mergeCell ref="C63:G63"/>
    <mergeCell ref="C60:G60"/>
    <mergeCell ref="C61:G61"/>
    <mergeCell ref="C48:D48"/>
    <mergeCell ref="C59:I59"/>
    <mergeCell ref="A40:C40"/>
    <mergeCell ref="A45:B45"/>
    <mergeCell ref="C45:D45"/>
    <mergeCell ref="A47:B4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4" r:id="rId4"/>
  <rowBreaks count="2" manualBreakCount="2">
    <brk id="56" max="255" man="1"/>
    <brk id="115" min="3" max="9" man="1"/>
  </rowBreaks>
  <drawing r:id="rId3"/>
  <legacyDrawing r:id="rId2"/>
  <oleObjects>
    <oleObject progId="PBrush" shapeId="66054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view="pageBreakPreview" zoomScale="88" zoomScaleSheetLayoutView="88" zoomScalePageLayoutView="0" workbookViewId="0" topLeftCell="A1">
      <selection activeCell="I20" sqref="I20"/>
    </sheetView>
  </sheetViews>
  <sheetFormatPr defaultColWidth="9.140625" defaultRowHeight="12.75"/>
  <cols>
    <col min="1" max="1" width="0.71875" style="0" customWidth="1"/>
    <col min="5" max="5" width="14.421875" style="0" customWidth="1"/>
    <col min="6" max="6" width="14.28125" style="0" customWidth="1"/>
    <col min="7" max="7" width="16.140625" style="0" customWidth="1"/>
    <col min="8" max="8" width="15.7109375" style="0" customWidth="1"/>
    <col min="9" max="9" width="16.140625" style="0" customWidth="1"/>
    <col min="10" max="10" width="14.28125" style="0" customWidth="1"/>
    <col min="11" max="11" width="15.140625" style="0" customWidth="1"/>
  </cols>
  <sheetData>
    <row r="1" spans="3:10" ht="15.75">
      <c r="C1" s="173" t="s">
        <v>252</v>
      </c>
      <c r="D1" s="173"/>
      <c r="E1" s="173"/>
      <c r="F1" s="173"/>
      <c r="G1" s="173"/>
      <c r="H1" s="173"/>
      <c r="I1" s="173"/>
      <c r="J1" s="173"/>
    </row>
    <row r="2" spans="3:7" ht="12.75">
      <c r="C2" s="176" t="s">
        <v>21</v>
      </c>
      <c r="D2" s="176"/>
      <c r="E2" s="176"/>
      <c r="F2" s="176"/>
      <c r="G2" s="176"/>
    </row>
    <row r="3" spans="3:7" ht="12.75">
      <c r="C3" s="176" t="s">
        <v>22</v>
      </c>
      <c r="D3" s="176"/>
      <c r="E3" s="176"/>
      <c r="F3" s="176"/>
      <c r="G3" s="176"/>
    </row>
    <row r="4" spans="3:9" ht="12.75">
      <c r="C4" s="176" t="s">
        <v>231</v>
      </c>
      <c r="D4" s="176"/>
      <c r="E4" s="176"/>
      <c r="F4" s="176"/>
      <c r="G4" s="176"/>
      <c r="H4" s="176"/>
      <c r="I4" s="176"/>
    </row>
    <row r="5" spans="3:10" ht="12.75">
      <c r="C5" s="176" t="s">
        <v>41</v>
      </c>
      <c r="D5" s="176"/>
      <c r="E5" s="176"/>
      <c r="F5" s="176"/>
      <c r="G5" s="176"/>
      <c r="J5" s="47"/>
    </row>
    <row r="6" spans="3:7" ht="12.75">
      <c r="C6" s="176" t="s">
        <v>25</v>
      </c>
      <c r="D6" s="176"/>
      <c r="E6" s="176"/>
      <c r="F6" s="176"/>
      <c r="G6" s="176"/>
    </row>
    <row r="8" spans="2:11" ht="12.75">
      <c r="B8" s="216" t="s">
        <v>42</v>
      </c>
      <c r="C8" s="217"/>
      <c r="D8" s="217"/>
      <c r="E8" s="218"/>
      <c r="F8" s="184" t="s">
        <v>145</v>
      </c>
      <c r="G8" s="185"/>
      <c r="H8" s="2" t="s">
        <v>2</v>
      </c>
      <c r="I8" s="184" t="s">
        <v>3</v>
      </c>
      <c r="J8" s="211"/>
      <c r="K8" s="185"/>
    </row>
    <row r="9" spans="2:11" ht="12.75">
      <c r="B9" s="219" t="s">
        <v>43</v>
      </c>
      <c r="C9" s="220"/>
      <c r="D9" s="220"/>
      <c r="E9" s="221"/>
      <c r="F9" s="104">
        <v>2016</v>
      </c>
      <c r="G9" s="104">
        <v>2017</v>
      </c>
      <c r="H9" s="104">
        <v>2018</v>
      </c>
      <c r="I9" s="2">
        <f>+H9+1</f>
        <v>2019</v>
      </c>
      <c r="J9" s="2">
        <f>+I9+1</f>
        <v>2020</v>
      </c>
      <c r="K9" s="2">
        <f>+J9+1</f>
        <v>2021</v>
      </c>
    </row>
    <row r="10" spans="2:11" ht="12.75">
      <c r="B10" s="178" t="s">
        <v>44</v>
      </c>
      <c r="C10" s="179"/>
      <c r="D10" s="179"/>
      <c r="E10" s="212"/>
      <c r="F10" s="4">
        <f aca="true" t="shared" si="0" ref="F10:K10">SUM(F11:F13)</f>
        <v>13713953.21</v>
      </c>
      <c r="G10" s="4">
        <f t="shared" si="0"/>
        <v>15213376.79</v>
      </c>
      <c r="H10" s="4">
        <f t="shared" si="0"/>
        <v>19536310</v>
      </c>
      <c r="I10" s="4">
        <f t="shared" si="0"/>
        <v>20903851.7</v>
      </c>
      <c r="J10" s="4">
        <f t="shared" si="0"/>
        <v>22367118.969</v>
      </c>
      <c r="K10" s="4">
        <f t="shared" si="0"/>
        <v>23932817.296830002</v>
      </c>
    </row>
    <row r="11" spans="2:11" ht="12.75">
      <c r="B11" s="169" t="s">
        <v>45</v>
      </c>
      <c r="C11" s="170"/>
      <c r="D11" s="170"/>
      <c r="E11" s="213"/>
      <c r="F11" s="5">
        <v>8998954.07</v>
      </c>
      <c r="G11" s="5">
        <v>11042498.63</v>
      </c>
      <c r="H11" s="5">
        <v>8268036</v>
      </c>
      <c r="I11" s="5">
        <f>(H11*0.07)+H11</f>
        <v>8846798.52</v>
      </c>
      <c r="J11" s="5">
        <f>(I11*0.07)+I11</f>
        <v>9466074.4164</v>
      </c>
      <c r="K11" s="5">
        <f>(J11*0.07)+J11</f>
        <v>10128699.625548001</v>
      </c>
    </row>
    <row r="12" spans="2:11" ht="12" customHeight="1">
      <c r="B12" s="169" t="s">
        <v>46</v>
      </c>
      <c r="C12" s="170"/>
      <c r="D12" s="170"/>
      <c r="E12" s="213"/>
      <c r="F12" s="5">
        <v>0</v>
      </c>
      <c r="G12" s="5">
        <v>56422.03</v>
      </c>
      <c r="H12" s="5">
        <v>51574</v>
      </c>
      <c r="I12" s="5">
        <f aca="true" t="shared" si="1" ref="I12:K13">(H12*0.07)+H12</f>
        <v>55184.18</v>
      </c>
      <c r="J12" s="5">
        <f t="shared" si="1"/>
        <v>59047.0726</v>
      </c>
      <c r="K12" s="5">
        <f t="shared" si="1"/>
        <v>63180.367682</v>
      </c>
    </row>
    <row r="13" spans="2:11" ht="12.75">
      <c r="B13" s="169" t="s">
        <v>47</v>
      </c>
      <c r="C13" s="170"/>
      <c r="D13" s="170"/>
      <c r="E13" s="213"/>
      <c r="F13" s="5">
        <v>4714999.14</v>
      </c>
      <c r="G13" s="5">
        <v>4114456.13</v>
      </c>
      <c r="H13" s="5">
        <v>11216700</v>
      </c>
      <c r="I13" s="5">
        <f t="shared" si="1"/>
        <v>12001869</v>
      </c>
      <c r="J13" s="5">
        <f>(I13*0.07)+I13-2.35</f>
        <v>12841997.48</v>
      </c>
      <c r="K13" s="5">
        <f>(J13*0.07)+J13</f>
        <v>13740937.3036</v>
      </c>
    </row>
    <row r="14" spans="2:11" ht="12.75">
      <c r="B14" s="169" t="s">
        <v>48</v>
      </c>
      <c r="C14" s="170"/>
      <c r="D14" s="170"/>
      <c r="E14" s="213"/>
      <c r="F14" s="5">
        <f aca="true" t="shared" si="2" ref="F14:K14">SUM(F15:F18)</f>
        <v>1162365.21</v>
      </c>
      <c r="G14" s="5">
        <f t="shared" si="2"/>
        <v>441700.28</v>
      </c>
      <c r="H14" s="5">
        <f t="shared" si="2"/>
        <v>5890190</v>
      </c>
      <c r="I14" s="5">
        <f t="shared" si="2"/>
        <v>6302500.9</v>
      </c>
      <c r="J14" s="5">
        <f t="shared" si="2"/>
        <v>6743678.283000001</v>
      </c>
      <c r="K14" s="5">
        <f t="shared" si="2"/>
        <v>6756634.302810001</v>
      </c>
    </row>
    <row r="15" spans="2:11" ht="12.75">
      <c r="B15" s="169" t="s">
        <v>49</v>
      </c>
      <c r="C15" s="170"/>
      <c r="D15" s="170"/>
      <c r="E15" s="213"/>
      <c r="F15" s="5">
        <v>799649.84</v>
      </c>
      <c r="G15" s="5">
        <v>215463.16</v>
      </c>
      <c r="H15" s="5">
        <v>5767033</v>
      </c>
      <c r="I15" s="5">
        <f>(H15*0.07)+H15-214000</f>
        <v>5956725.3100000005</v>
      </c>
      <c r="J15" s="5">
        <f>(I15*0.07)+I15</f>
        <v>6373696.081700001</v>
      </c>
      <c r="K15" s="5">
        <f>(J15*0.07)+J15-459101.46</f>
        <v>6360753.347419001</v>
      </c>
    </row>
    <row r="16" spans="2:11" ht="12.75">
      <c r="B16" s="169" t="s">
        <v>50</v>
      </c>
      <c r="C16" s="170"/>
      <c r="D16" s="170"/>
      <c r="E16" s="213"/>
      <c r="F16" s="5"/>
      <c r="G16" s="5">
        <v>0</v>
      </c>
      <c r="H16" s="5">
        <v>0</v>
      </c>
      <c r="I16" s="5">
        <f aca="true" t="shared" si="3" ref="I16:K19">(H16*0.07)+H16</f>
        <v>0</v>
      </c>
      <c r="J16" s="5">
        <f t="shared" si="3"/>
        <v>0</v>
      </c>
      <c r="K16" s="5">
        <f t="shared" si="3"/>
        <v>0</v>
      </c>
    </row>
    <row r="17" spans="2:11" ht="12.75">
      <c r="B17" s="169" t="s">
        <v>51</v>
      </c>
      <c r="C17" s="170"/>
      <c r="D17" s="170"/>
      <c r="E17" s="213"/>
      <c r="F17" s="5"/>
      <c r="G17" s="5">
        <v>0</v>
      </c>
      <c r="H17" s="5">
        <v>0</v>
      </c>
      <c r="I17" s="5">
        <f t="shared" si="3"/>
        <v>0</v>
      </c>
      <c r="J17" s="5">
        <f t="shared" si="3"/>
        <v>0</v>
      </c>
      <c r="K17" s="5">
        <f t="shared" si="3"/>
        <v>0</v>
      </c>
    </row>
    <row r="18" spans="2:11" ht="12.75">
      <c r="B18" s="169" t="s">
        <v>52</v>
      </c>
      <c r="C18" s="170"/>
      <c r="D18" s="170"/>
      <c r="E18" s="213"/>
      <c r="F18" s="5">
        <v>362715.37</v>
      </c>
      <c r="G18" s="5">
        <v>226237.12</v>
      </c>
      <c r="H18" s="5">
        <v>123157</v>
      </c>
      <c r="I18" s="5">
        <f>(H18*0.07)+H18+213997.6</f>
        <v>345775.58999999997</v>
      </c>
      <c r="J18" s="5">
        <f>(I18*0.07)+I18+2.32</f>
        <v>369982.20129999996</v>
      </c>
      <c r="K18" s="5">
        <f t="shared" si="3"/>
        <v>395880.95539099997</v>
      </c>
    </row>
    <row r="19" spans="2:11" ht="12.75">
      <c r="B19" s="169" t="s">
        <v>53</v>
      </c>
      <c r="C19" s="170"/>
      <c r="D19" s="170"/>
      <c r="E19" s="213"/>
      <c r="F19" s="5">
        <v>0</v>
      </c>
      <c r="G19" s="5">
        <v>0</v>
      </c>
      <c r="H19" s="5">
        <v>253500</v>
      </c>
      <c r="I19" s="5">
        <f>(H19*0.07)+H19</f>
        <v>271245</v>
      </c>
      <c r="J19" s="5">
        <f t="shared" si="3"/>
        <v>290232.15</v>
      </c>
      <c r="K19" s="5">
        <f t="shared" si="3"/>
        <v>310548.40050000005</v>
      </c>
    </row>
    <row r="20" spans="2:11" ht="21.75" customHeight="1">
      <c r="B20" s="214" t="s">
        <v>18</v>
      </c>
      <c r="C20" s="215"/>
      <c r="D20" s="215"/>
      <c r="E20" s="215"/>
      <c r="F20" s="46">
        <f aca="true" t="shared" si="4" ref="F20:K20">SUM(F19+F14+F10)</f>
        <v>14876318.420000002</v>
      </c>
      <c r="G20" s="46">
        <f t="shared" si="4"/>
        <v>15655077.069999998</v>
      </c>
      <c r="H20" s="46">
        <f t="shared" si="4"/>
        <v>25680000</v>
      </c>
      <c r="I20" s="46">
        <f t="shared" si="4"/>
        <v>27477597.6</v>
      </c>
      <c r="J20" s="46">
        <f t="shared" si="4"/>
        <v>29401029.402000003</v>
      </c>
      <c r="K20" s="46">
        <f t="shared" si="4"/>
        <v>31000000.000140004</v>
      </c>
    </row>
    <row r="22" spans="1:8" ht="12.75">
      <c r="A22" s="180" t="s">
        <v>260</v>
      </c>
      <c r="B22" s="176"/>
      <c r="C22" s="176"/>
      <c r="D22" s="176"/>
      <c r="E22" s="176"/>
      <c r="F22" s="176"/>
      <c r="G22" s="7"/>
      <c r="H22" t="s">
        <v>226</v>
      </c>
    </row>
    <row r="23" spans="7:11" ht="12.75">
      <c r="G23" s="47"/>
      <c r="J23" s="47"/>
      <c r="K23" s="47"/>
    </row>
    <row r="24" spans="8:10" ht="12.75">
      <c r="H24" s="47"/>
      <c r="I24" s="47"/>
      <c r="J24" s="47"/>
    </row>
    <row r="25" ht="12.75">
      <c r="H25" s="47"/>
    </row>
    <row r="26" ht="12.75">
      <c r="H26" s="47"/>
    </row>
    <row r="27" ht="12.75">
      <c r="G27" s="47"/>
    </row>
    <row r="28" spans="2:11" ht="12.75">
      <c r="B28" s="174" t="s">
        <v>250</v>
      </c>
      <c r="C28" s="174"/>
      <c r="D28" s="174"/>
      <c r="E28" s="174"/>
      <c r="F28" s="174"/>
      <c r="G28" s="174"/>
      <c r="H28" s="174"/>
      <c r="I28" s="102"/>
      <c r="J28" s="102" t="s">
        <v>251</v>
      </c>
      <c r="K28" s="102"/>
    </row>
    <row r="29" spans="2:11" ht="12.75">
      <c r="B29" s="174" t="s">
        <v>26</v>
      </c>
      <c r="C29" s="174"/>
      <c r="D29" s="174"/>
      <c r="E29" s="174"/>
      <c r="F29" s="175"/>
      <c r="G29" s="175"/>
      <c r="H29" s="175"/>
      <c r="I29" s="210" t="s">
        <v>247</v>
      </c>
      <c r="J29" s="210"/>
      <c r="K29" s="210"/>
    </row>
  </sheetData>
  <sheetProtection/>
  <mergeCells count="27">
    <mergeCell ref="C1:J1"/>
    <mergeCell ref="C6:G6"/>
    <mergeCell ref="C4:I4"/>
    <mergeCell ref="A22:F22"/>
    <mergeCell ref="B16:E16"/>
    <mergeCell ref="B17:E17"/>
    <mergeCell ref="B18:E18"/>
    <mergeCell ref="B14:E14"/>
    <mergeCell ref="B12:E12"/>
    <mergeCell ref="B13:E13"/>
    <mergeCell ref="B20:E20"/>
    <mergeCell ref="B8:E8"/>
    <mergeCell ref="B9:E9"/>
    <mergeCell ref="B15:E15"/>
    <mergeCell ref="C2:G2"/>
    <mergeCell ref="C3:G3"/>
    <mergeCell ref="C5:G5"/>
    <mergeCell ref="B29:E29"/>
    <mergeCell ref="F29:H29"/>
    <mergeCell ref="I29:K29"/>
    <mergeCell ref="B28:E28"/>
    <mergeCell ref="F28:H28"/>
    <mergeCell ref="F8:G8"/>
    <mergeCell ref="I8:K8"/>
    <mergeCell ref="B10:E10"/>
    <mergeCell ref="B11:E11"/>
    <mergeCell ref="B19:E1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4"/>
  <sheetViews>
    <sheetView showGridLines="0" view="pageBreakPreview" zoomScale="73" zoomScaleSheetLayoutView="73" zoomScalePageLayoutView="0" workbookViewId="0" topLeftCell="A133">
      <selection activeCell="E86" sqref="E86:F87"/>
    </sheetView>
  </sheetViews>
  <sheetFormatPr defaultColWidth="9.140625" defaultRowHeight="12.75"/>
  <cols>
    <col min="9" max="9" width="14.421875" style="0" customWidth="1"/>
  </cols>
  <sheetData>
    <row r="1" spans="3:10" ht="15.75">
      <c r="C1" s="173" t="s">
        <v>253</v>
      </c>
      <c r="D1" s="173"/>
      <c r="E1" s="173"/>
      <c r="F1" s="173"/>
      <c r="G1" s="173"/>
      <c r="H1" s="173"/>
      <c r="I1" s="173"/>
      <c r="J1" s="173"/>
    </row>
    <row r="2" spans="3:7" ht="12.75">
      <c r="C2" s="176" t="s">
        <v>21</v>
      </c>
      <c r="D2" s="176"/>
      <c r="E2" s="176"/>
      <c r="F2" s="176"/>
      <c r="G2" s="176"/>
    </row>
    <row r="3" spans="3:7" ht="12.75">
      <c r="C3" s="176" t="s">
        <v>22</v>
      </c>
      <c r="D3" s="176"/>
      <c r="E3" s="176"/>
      <c r="F3" s="176"/>
      <c r="G3" s="176"/>
    </row>
    <row r="4" spans="3:9" ht="12.75">
      <c r="C4" s="176" t="s">
        <v>231</v>
      </c>
      <c r="D4" s="176"/>
      <c r="E4" s="176"/>
      <c r="F4" s="176"/>
      <c r="G4" s="176"/>
      <c r="H4" s="176"/>
      <c r="I4" s="176"/>
    </row>
    <row r="5" spans="3:7" ht="12.75">
      <c r="C5" s="176" t="s">
        <v>59</v>
      </c>
      <c r="D5" s="176"/>
      <c r="E5" s="176"/>
      <c r="F5" s="176"/>
      <c r="G5" s="176"/>
    </row>
    <row r="6" spans="3:7" ht="12.75">
      <c r="C6" s="176" t="s">
        <v>25</v>
      </c>
      <c r="D6" s="176"/>
      <c r="E6" s="176"/>
      <c r="F6" s="176"/>
      <c r="G6" s="176"/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2" ht="12.75">
      <c r="A8" s="10" t="s">
        <v>54</v>
      </c>
      <c r="B8" s="10"/>
    </row>
    <row r="10" spans="1:6" ht="12.75">
      <c r="A10" s="198" t="s">
        <v>27</v>
      </c>
      <c r="B10" s="199"/>
      <c r="C10" s="198" t="s">
        <v>28</v>
      </c>
      <c r="D10" s="199"/>
      <c r="E10" s="198" t="s">
        <v>29</v>
      </c>
      <c r="F10" s="199"/>
    </row>
    <row r="11" spans="1:6" ht="12.75">
      <c r="A11" s="194">
        <v>2016</v>
      </c>
      <c r="B11" s="195"/>
      <c r="C11" s="196">
        <f>('Quadro de Despesa'!F11)</f>
        <v>8998954.07</v>
      </c>
      <c r="D11" s="197"/>
      <c r="E11" s="200"/>
      <c r="F11" s="201"/>
    </row>
    <row r="12" spans="1:6" ht="12.75">
      <c r="A12" s="190">
        <f>A11+1</f>
        <v>2017</v>
      </c>
      <c r="B12" s="191"/>
      <c r="C12" s="192">
        <f>('Quadro de Despesa'!G11)</f>
        <v>11042498.63</v>
      </c>
      <c r="D12" s="193"/>
      <c r="E12" s="202">
        <v>0</v>
      </c>
      <c r="F12" s="203"/>
    </row>
    <row r="13" spans="1:6" ht="12.75">
      <c r="A13" s="190">
        <f>A12+1</f>
        <v>2018</v>
      </c>
      <c r="B13" s="191"/>
      <c r="C13" s="192">
        <f>('Quadro de Despesa'!H11)</f>
        <v>8268036</v>
      </c>
      <c r="D13" s="193"/>
      <c r="E13" s="202">
        <f>(C13/(C12/100))-100</f>
        <v>-25.125315591730356</v>
      </c>
      <c r="F13" s="203"/>
    </row>
    <row r="14" spans="1:6" ht="12.75">
      <c r="A14" s="190">
        <f>A13+1</f>
        <v>2019</v>
      </c>
      <c r="B14" s="191"/>
      <c r="C14" s="192">
        <f>('Quadro de Despesa'!I11)</f>
        <v>8846798.52</v>
      </c>
      <c r="D14" s="193"/>
      <c r="E14" s="202">
        <f>(C14/(C13/100))-100</f>
        <v>7</v>
      </c>
      <c r="F14" s="203"/>
    </row>
    <row r="15" spans="1:6" ht="12.75">
      <c r="A15" s="190">
        <f>A14+1</f>
        <v>2020</v>
      </c>
      <c r="B15" s="191"/>
      <c r="C15" s="192">
        <f>('Quadro de Despesa'!J11)</f>
        <v>9466074.4164</v>
      </c>
      <c r="D15" s="193"/>
      <c r="E15" s="202">
        <f>(C15/(C14/100))-100</f>
        <v>7.000000000000014</v>
      </c>
      <c r="F15" s="203"/>
    </row>
    <row r="16" spans="1:6" ht="12.75">
      <c r="A16" s="204">
        <f>A15+1</f>
        <v>2021</v>
      </c>
      <c r="B16" s="205"/>
      <c r="C16" s="187">
        <f>('Quadro de Despesa'!K11)</f>
        <v>10128699.625548001</v>
      </c>
      <c r="D16" s="188"/>
      <c r="E16" s="206">
        <f>(C16/(C15/100))-100</f>
        <v>7.000000000000014</v>
      </c>
      <c r="F16" s="207"/>
    </row>
    <row r="18" ht="12.75">
      <c r="A18" s="9" t="s">
        <v>30</v>
      </c>
    </row>
    <row r="19" spans="1:7" ht="12.75">
      <c r="A19" s="7" t="s">
        <v>217</v>
      </c>
      <c r="B19" s="7"/>
      <c r="C19" s="7"/>
      <c r="D19" s="7"/>
      <c r="E19" s="7"/>
      <c r="F19" s="7"/>
      <c r="G19" s="7"/>
    </row>
    <row r="20" ht="12.75">
      <c r="A20" t="s">
        <v>218</v>
      </c>
    </row>
    <row r="21" spans="1:9" ht="15.75" customHeight="1">
      <c r="A21" s="3"/>
      <c r="B21" s="3"/>
      <c r="C21" s="3"/>
      <c r="D21" s="3"/>
      <c r="E21" s="3"/>
      <c r="F21" s="42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4" ht="12.75">
      <c r="A24" s="186" t="s">
        <v>55</v>
      </c>
      <c r="B24" s="186"/>
      <c r="C24" s="186"/>
      <c r="D24" s="186"/>
    </row>
    <row r="26" spans="1:6" ht="12.75">
      <c r="A26" s="198" t="s">
        <v>27</v>
      </c>
      <c r="B26" s="199"/>
      <c r="C26" s="198" t="s">
        <v>28</v>
      </c>
      <c r="D26" s="199"/>
      <c r="E26" s="198" t="s">
        <v>29</v>
      </c>
      <c r="F26" s="199"/>
    </row>
    <row r="27" spans="1:6" ht="12.75">
      <c r="A27" s="194">
        <v>2016</v>
      </c>
      <c r="B27" s="195"/>
      <c r="C27" s="196">
        <f>('Quadro de Despesa'!F12)</f>
        <v>0</v>
      </c>
      <c r="D27" s="197"/>
      <c r="E27" s="194"/>
      <c r="F27" s="195"/>
    </row>
    <row r="28" spans="1:6" ht="12.75">
      <c r="A28" s="190">
        <f>A27+1</f>
        <v>2017</v>
      </c>
      <c r="B28" s="191"/>
      <c r="C28" s="192">
        <f>('Quadro de Despesa'!G12)</f>
        <v>56422.03</v>
      </c>
      <c r="D28" s="193"/>
      <c r="E28" s="202">
        <v>0</v>
      </c>
      <c r="F28" s="203"/>
    </row>
    <row r="29" spans="1:6" ht="12.75">
      <c r="A29" s="190">
        <f>A28+1</f>
        <v>2018</v>
      </c>
      <c r="B29" s="191"/>
      <c r="C29" s="192">
        <f>('Quadro de Despesa'!H12)</f>
        <v>51574</v>
      </c>
      <c r="D29" s="193"/>
      <c r="E29" s="202">
        <v>41.03</v>
      </c>
      <c r="F29" s="203"/>
    </row>
    <row r="30" spans="1:6" ht="12.75">
      <c r="A30" s="190">
        <f>A29+1</f>
        <v>2019</v>
      </c>
      <c r="B30" s="191"/>
      <c r="C30" s="192">
        <f>('Quadro de Despesa'!I12)</f>
        <v>55184.18</v>
      </c>
      <c r="D30" s="193"/>
      <c r="E30" s="202">
        <f>(C30/(C29/100))-100</f>
        <v>7</v>
      </c>
      <c r="F30" s="203"/>
    </row>
    <row r="31" spans="1:6" ht="12.75">
      <c r="A31" s="190">
        <f>A30+1</f>
        <v>2020</v>
      </c>
      <c r="B31" s="191"/>
      <c r="C31" s="192">
        <f>('Quadro de Despesa'!J12)</f>
        <v>59047.0726</v>
      </c>
      <c r="D31" s="193"/>
      <c r="E31" s="202">
        <f>(C31/(C30/100))-100</f>
        <v>6.999999999999986</v>
      </c>
      <c r="F31" s="203"/>
    </row>
    <row r="32" spans="1:6" ht="12.75">
      <c r="A32" s="204">
        <f>A31+1</f>
        <v>2021</v>
      </c>
      <c r="B32" s="205"/>
      <c r="C32" s="187">
        <f>('Quadro de Despesa'!K12)</f>
        <v>63180.367682</v>
      </c>
      <c r="D32" s="188"/>
      <c r="E32" s="206">
        <f>(C32/(C31/100))-100</f>
        <v>6.999999999999986</v>
      </c>
      <c r="F32" s="207"/>
    </row>
    <row r="34" ht="12.75">
      <c r="A34" s="9" t="s">
        <v>30</v>
      </c>
    </row>
    <row r="35" spans="1:7" ht="14.25" customHeight="1">
      <c r="A35" s="7" t="s">
        <v>217</v>
      </c>
      <c r="B35" s="6"/>
      <c r="C35" s="6"/>
      <c r="D35" s="6"/>
      <c r="E35" s="6"/>
      <c r="F35" s="6"/>
      <c r="G35" s="6"/>
    </row>
    <row r="36" spans="1:9" ht="14.25" customHeight="1">
      <c r="A36" t="s">
        <v>218</v>
      </c>
      <c r="B36" s="3"/>
      <c r="C36" s="3"/>
      <c r="D36" s="42"/>
      <c r="E36" s="3"/>
      <c r="F36" s="3"/>
      <c r="G36" s="3"/>
      <c r="H36" s="3"/>
      <c r="I36" s="3"/>
    </row>
    <row r="37" spans="2:9" ht="14.25" customHeight="1">
      <c r="B37" s="3"/>
      <c r="C37" s="3"/>
      <c r="D37" s="42"/>
      <c r="E37" s="3"/>
      <c r="F37" s="3"/>
      <c r="G37" s="3"/>
      <c r="H37" s="3"/>
      <c r="I37" s="3"/>
    </row>
    <row r="38" spans="2:9" ht="14.25" customHeight="1">
      <c r="B38" s="3"/>
      <c r="C38" s="3"/>
      <c r="D38" s="42"/>
      <c r="E38" s="3"/>
      <c r="F38" s="3"/>
      <c r="G38" s="3"/>
      <c r="H38" s="3"/>
      <c r="I38" s="3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1:3" ht="12.75">
      <c r="A40" s="189" t="s">
        <v>56</v>
      </c>
      <c r="B40" s="189"/>
      <c r="C40" s="189"/>
    </row>
    <row r="42" spans="1:6" ht="12.75">
      <c r="A42" s="198" t="s">
        <v>27</v>
      </c>
      <c r="B42" s="199"/>
      <c r="C42" s="198" t="s">
        <v>28</v>
      </c>
      <c r="D42" s="199"/>
      <c r="E42" s="198" t="s">
        <v>29</v>
      </c>
      <c r="F42" s="199"/>
    </row>
    <row r="43" spans="1:6" ht="12.75">
      <c r="A43" s="194">
        <v>2016</v>
      </c>
      <c r="B43" s="195"/>
      <c r="C43" s="196">
        <f>('Quadro de Despesa'!F13)</f>
        <v>4714999.14</v>
      </c>
      <c r="D43" s="197"/>
      <c r="E43" s="194"/>
      <c r="F43" s="195"/>
    </row>
    <row r="44" spans="1:6" ht="12.75">
      <c r="A44" s="190">
        <f>A43+1</f>
        <v>2017</v>
      </c>
      <c r="B44" s="191"/>
      <c r="C44" s="192">
        <f>('Quadro de Despesa'!G13)</f>
        <v>4114456.13</v>
      </c>
      <c r="D44" s="193"/>
      <c r="E44" s="202">
        <v>0</v>
      </c>
      <c r="F44" s="203"/>
    </row>
    <row r="45" spans="1:6" ht="12.75">
      <c r="A45" s="190">
        <f>A44+1</f>
        <v>2018</v>
      </c>
      <c r="B45" s="191"/>
      <c r="C45" s="192">
        <f>('Quadro de Despesa'!H13)</f>
        <v>11216700</v>
      </c>
      <c r="D45" s="193"/>
      <c r="E45" s="202">
        <f>(C45/(C44/100))-100</f>
        <v>172.61683307825183</v>
      </c>
      <c r="F45" s="203"/>
    </row>
    <row r="46" spans="1:6" ht="12.75">
      <c r="A46" s="190">
        <f>A45+1</f>
        <v>2019</v>
      </c>
      <c r="B46" s="191"/>
      <c r="C46" s="192">
        <f>('Quadro de Despesa'!I13)</f>
        <v>12001869</v>
      </c>
      <c r="D46" s="193"/>
      <c r="E46" s="202">
        <f>(C46/(C45/100))-100</f>
        <v>7</v>
      </c>
      <c r="F46" s="203"/>
    </row>
    <row r="47" spans="1:6" ht="12.75">
      <c r="A47" s="190">
        <f>A46+1</f>
        <v>2020</v>
      </c>
      <c r="B47" s="191"/>
      <c r="C47" s="192">
        <f>('Quadro de Despesa'!J13)</f>
        <v>12841997.48</v>
      </c>
      <c r="D47" s="193"/>
      <c r="E47" s="202">
        <f>(C47/(C46/100))-100</f>
        <v>6.9999804197162945</v>
      </c>
      <c r="F47" s="203"/>
    </row>
    <row r="48" spans="1:6" ht="12.75">
      <c r="A48" s="204">
        <f>A47+1</f>
        <v>2021</v>
      </c>
      <c r="B48" s="205"/>
      <c r="C48" s="187">
        <f>('Quadro de Despesa'!K13)</f>
        <v>13740937.3036</v>
      </c>
      <c r="D48" s="188"/>
      <c r="E48" s="206">
        <f>(C48/(C47/100))-100</f>
        <v>6.999999999999986</v>
      </c>
      <c r="F48" s="207"/>
    </row>
    <row r="50" ht="12.75">
      <c r="A50" s="9" t="s">
        <v>30</v>
      </c>
    </row>
    <row r="51" spans="1:8" ht="12.75">
      <c r="A51" s="7" t="s">
        <v>217</v>
      </c>
      <c r="B51" s="7"/>
      <c r="C51" s="7"/>
      <c r="D51" s="7"/>
      <c r="E51" s="7"/>
      <c r="F51" s="7"/>
      <c r="G51" s="7"/>
      <c r="H51" s="7"/>
    </row>
    <row r="52" spans="1:4" ht="14.25" customHeight="1">
      <c r="A52" t="s">
        <v>218</v>
      </c>
      <c r="D52" s="42"/>
    </row>
    <row r="56" spans="3:9" ht="15.75">
      <c r="C56" s="173" t="s">
        <v>253</v>
      </c>
      <c r="D56" s="173"/>
      <c r="E56" s="173"/>
      <c r="F56" s="173"/>
      <c r="G56" s="173"/>
      <c r="H56" s="173"/>
      <c r="I56" s="173"/>
    </row>
    <row r="57" spans="3:7" ht="12.75">
      <c r="C57" s="176" t="s">
        <v>21</v>
      </c>
      <c r="D57" s="176"/>
      <c r="E57" s="176"/>
      <c r="F57" s="176"/>
      <c r="G57" s="176"/>
    </row>
    <row r="58" spans="3:7" ht="12.75">
      <c r="C58" s="176" t="s">
        <v>22</v>
      </c>
      <c r="D58" s="176"/>
      <c r="E58" s="176"/>
      <c r="F58" s="176"/>
      <c r="G58" s="176"/>
    </row>
    <row r="59" spans="3:9" ht="12.75">
      <c r="C59" s="176" t="s">
        <v>23</v>
      </c>
      <c r="D59" s="176"/>
      <c r="E59" s="176"/>
      <c r="F59" s="176"/>
      <c r="G59" s="176"/>
      <c r="H59" s="176"/>
      <c r="I59" s="176"/>
    </row>
    <row r="60" spans="3:7" ht="12.75">
      <c r="C60" s="176" t="s">
        <v>59</v>
      </c>
      <c r="D60" s="176"/>
      <c r="E60" s="176"/>
      <c r="F60" s="176"/>
      <c r="G60" s="176"/>
    </row>
    <row r="61" spans="3:7" ht="12.75">
      <c r="C61" s="176" t="s">
        <v>25</v>
      </c>
      <c r="D61" s="176"/>
      <c r="E61" s="176"/>
      <c r="F61" s="176"/>
      <c r="G61" s="176"/>
    </row>
    <row r="62" spans="1:9" ht="12.75">
      <c r="A62" s="8"/>
      <c r="B62" s="8"/>
      <c r="C62" s="8"/>
      <c r="D62" s="8"/>
      <c r="E62" s="8"/>
      <c r="F62" s="8"/>
      <c r="G62" s="8"/>
      <c r="H62" s="8"/>
      <c r="I62" s="8"/>
    </row>
    <row r="63" spans="1:3" ht="12.75">
      <c r="A63" s="186" t="s">
        <v>57</v>
      </c>
      <c r="B63" s="186"/>
      <c r="C63" s="186"/>
    </row>
    <row r="65" spans="1:6" ht="12.75">
      <c r="A65" s="198" t="s">
        <v>27</v>
      </c>
      <c r="B65" s="199"/>
      <c r="C65" s="198" t="s">
        <v>28</v>
      </c>
      <c r="D65" s="199"/>
      <c r="E65" s="198" t="s">
        <v>29</v>
      </c>
      <c r="F65" s="199"/>
    </row>
    <row r="66" spans="1:6" ht="12.75">
      <c r="A66" s="194">
        <v>2016</v>
      </c>
      <c r="B66" s="195"/>
      <c r="C66" s="196">
        <f>('Quadro de Despesa'!F15)</f>
        <v>799649.84</v>
      </c>
      <c r="D66" s="197"/>
      <c r="E66" s="200"/>
      <c r="F66" s="201"/>
    </row>
    <row r="67" spans="1:6" ht="12.75">
      <c r="A67" s="190">
        <f>A66+1</f>
        <v>2017</v>
      </c>
      <c r="B67" s="191"/>
      <c r="C67" s="192">
        <f>('Quadro de Despesa'!G15)</f>
        <v>215463.16</v>
      </c>
      <c r="D67" s="193"/>
      <c r="E67" s="202">
        <v>0</v>
      </c>
      <c r="F67" s="203"/>
    </row>
    <row r="68" spans="1:6" ht="12.75">
      <c r="A68" s="190">
        <f>A67+1</f>
        <v>2018</v>
      </c>
      <c r="B68" s="191"/>
      <c r="C68" s="192">
        <f>('Quadro de Despesa'!H15)</f>
        <v>5767033</v>
      </c>
      <c r="D68" s="193"/>
      <c r="E68" s="202">
        <f>(C68/(C67/100))-100</f>
        <v>2576.5749652980116</v>
      </c>
      <c r="F68" s="203"/>
    </row>
    <row r="69" spans="1:6" ht="12.75">
      <c r="A69" s="190">
        <f>A68+1</f>
        <v>2019</v>
      </c>
      <c r="B69" s="191"/>
      <c r="C69" s="192">
        <f>('Quadro de Despesa'!I15)</f>
        <v>5956725.3100000005</v>
      </c>
      <c r="D69" s="193"/>
      <c r="E69" s="202">
        <f>(C69/(C68/100))-100</f>
        <v>3.2892530699928386</v>
      </c>
      <c r="F69" s="203"/>
    </row>
    <row r="70" spans="1:6" ht="12.75">
      <c r="A70" s="190">
        <f>A69+1</f>
        <v>2020</v>
      </c>
      <c r="B70" s="191"/>
      <c r="C70" s="192">
        <f>('Quadro de Despesa'!J15)</f>
        <v>6373696.081700001</v>
      </c>
      <c r="D70" s="193"/>
      <c r="E70" s="202">
        <f>(C70/(C69/100))-100</f>
        <v>7.000000000000014</v>
      </c>
      <c r="F70" s="203"/>
    </row>
    <row r="71" spans="1:6" ht="12.75">
      <c r="A71" s="204">
        <f>A70+1</f>
        <v>2021</v>
      </c>
      <c r="B71" s="205"/>
      <c r="C71" s="187">
        <f>('Quadro de Despesa'!K15)</f>
        <v>6360753.347419001</v>
      </c>
      <c r="D71" s="188"/>
      <c r="E71" s="206">
        <v>0</v>
      </c>
      <c r="F71" s="207"/>
    </row>
    <row r="73" ht="12.75">
      <c r="A73" s="9" t="s">
        <v>30</v>
      </c>
    </row>
    <row r="74" spans="1:7" ht="12.75">
      <c r="A74" s="7" t="s">
        <v>217</v>
      </c>
      <c r="B74" s="7"/>
      <c r="C74" s="7"/>
      <c r="D74" s="7"/>
      <c r="E74" s="7"/>
      <c r="F74" s="7"/>
      <c r="G74" s="7"/>
    </row>
    <row r="75" ht="12.75">
      <c r="A75" t="s">
        <v>218</v>
      </c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8"/>
      <c r="B78" s="8"/>
      <c r="C78" s="8"/>
      <c r="D78" s="8"/>
      <c r="E78" s="8"/>
      <c r="F78" s="8"/>
      <c r="G78" s="8"/>
      <c r="H78" s="8"/>
      <c r="I78" s="8"/>
    </row>
    <row r="79" spans="1:4" ht="12.75">
      <c r="A79" s="186" t="s">
        <v>58</v>
      </c>
      <c r="B79" s="186"/>
      <c r="C79" s="186"/>
      <c r="D79" s="186"/>
    </row>
    <row r="81" spans="1:6" ht="12.75">
      <c r="A81" s="198" t="s">
        <v>27</v>
      </c>
      <c r="B81" s="199"/>
      <c r="C81" s="198" t="s">
        <v>28</v>
      </c>
      <c r="D81" s="199"/>
      <c r="E81" s="198" t="s">
        <v>29</v>
      </c>
      <c r="F81" s="199"/>
    </row>
    <row r="82" spans="1:6" ht="12.75">
      <c r="A82" s="194">
        <v>2016</v>
      </c>
      <c r="B82" s="195"/>
      <c r="C82" s="196">
        <f>('Quadro de Despesa'!F16)</f>
        <v>0</v>
      </c>
      <c r="D82" s="197"/>
      <c r="E82" s="194"/>
      <c r="F82" s="195"/>
    </row>
    <row r="83" spans="1:6" ht="12.75">
      <c r="A83" s="190">
        <f>A82+1</f>
        <v>2017</v>
      </c>
      <c r="B83" s="191"/>
      <c r="C83" s="192">
        <f>('Quadro de Despesa'!G16)</f>
        <v>0</v>
      </c>
      <c r="D83" s="193"/>
      <c r="E83" s="202">
        <v>0</v>
      </c>
      <c r="F83" s="203"/>
    </row>
    <row r="84" spans="1:6" ht="12.75">
      <c r="A84" s="190">
        <f>A83+1</f>
        <v>2018</v>
      </c>
      <c r="B84" s="191"/>
      <c r="C84" s="192">
        <f>('Quadro de Despesa'!H16)</f>
        <v>0</v>
      </c>
      <c r="D84" s="193"/>
      <c r="E84" s="202">
        <v>0</v>
      </c>
      <c r="F84" s="203"/>
    </row>
    <row r="85" spans="1:6" ht="12.75">
      <c r="A85" s="190">
        <f>A84+1</f>
        <v>2019</v>
      </c>
      <c r="B85" s="191"/>
      <c r="C85" s="192">
        <f>('Quadro de Despesa'!I16)</f>
        <v>0</v>
      </c>
      <c r="D85" s="193"/>
      <c r="E85" s="202">
        <v>0</v>
      </c>
      <c r="F85" s="203"/>
    </row>
    <row r="86" spans="1:6" ht="12.75">
      <c r="A86" s="190">
        <f>A85+1</f>
        <v>2020</v>
      </c>
      <c r="B86" s="191"/>
      <c r="C86" s="192">
        <f>('Quadro de Despesa'!J16)</f>
        <v>0</v>
      </c>
      <c r="D86" s="193"/>
      <c r="E86" s="202">
        <v>0</v>
      </c>
      <c r="F86" s="203"/>
    </row>
    <row r="87" spans="1:6" ht="12.75">
      <c r="A87" s="204">
        <f>A86+1</f>
        <v>2021</v>
      </c>
      <c r="B87" s="205"/>
      <c r="C87" s="187">
        <f>('Quadro de Despesa'!K16)</f>
        <v>0</v>
      </c>
      <c r="D87" s="188"/>
      <c r="E87" s="202">
        <v>0</v>
      </c>
      <c r="F87" s="203"/>
    </row>
    <row r="89" ht="12.75">
      <c r="A89" s="9" t="s">
        <v>30</v>
      </c>
    </row>
    <row r="90" spans="1:7" ht="12.75">
      <c r="A90" s="7" t="s">
        <v>217</v>
      </c>
      <c r="B90" s="6"/>
      <c r="C90" s="6"/>
      <c r="D90" s="6"/>
      <c r="E90" s="6"/>
      <c r="F90" s="6"/>
      <c r="G90" s="6"/>
    </row>
    <row r="91" spans="1:7" ht="12.75">
      <c r="A91" t="s">
        <v>218</v>
      </c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8"/>
      <c r="B94" s="8"/>
      <c r="C94" s="8"/>
      <c r="D94" s="8"/>
      <c r="E94" s="8"/>
      <c r="F94" s="8"/>
      <c r="G94" s="8"/>
      <c r="H94" s="8"/>
      <c r="I94" s="8"/>
    </row>
    <row r="95" spans="1:3" ht="12.75">
      <c r="A95" s="186" t="s">
        <v>60</v>
      </c>
      <c r="B95" s="186"/>
      <c r="C95" s="186"/>
    </row>
    <row r="97" spans="1:6" ht="12.75">
      <c r="A97" s="198" t="s">
        <v>27</v>
      </c>
      <c r="B97" s="199"/>
      <c r="C97" s="198" t="s">
        <v>28</v>
      </c>
      <c r="D97" s="199"/>
      <c r="E97" s="198" t="s">
        <v>29</v>
      </c>
      <c r="F97" s="199"/>
    </row>
    <row r="98" spans="1:6" ht="12.75">
      <c r="A98" s="194">
        <v>2016</v>
      </c>
      <c r="B98" s="195"/>
      <c r="C98" s="196">
        <f>('Quadro de Despesa'!F18)</f>
        <v>362715.37</v>
      </c>
      <c r="D98" s="197"/>
      <c r="E98" s="200"/>
      <c r="F98" s="201"/>
    </row>
    <row r="99" spans="1:6" ht="12.75">
      <c r="A99" s="190">
        <f>A98+1</f>
        <v>2017</v>
      </c>
      <c r="B99" s="191"/>
      <c r="C99" s="192">
        <f>('Quadro de Despesa'!G18)</f>
        <v>226237.12</v>
      </c>
      <c r="D99" s="193"/>
      <c r="E99" s="202">
        <v>0</v>
      </c>
      <c r="F99" s="203"/>
    </row>
    <row r="100" spans="1:6" ht="12.75">
      <c r="A100" s="190">
        <f>A99+1</f>
        <v>2018</v>
      </c>
      <c r="B100" s="191"/>
      <c r="C100" s="192">
        <f>('Quadro de Despesa'!H18)</f>
        <v>123157</v>
      </c>
      <c r="D100" s="193"/>
      <c r="E100" s="202">
        <f>(C100/(C99/100))-100</f>
        <v>-45.56286784414512</v>
      </c>
      <c r="F100" s="203"/>
    </row>
    <row r="101" spans="1:6" ht="12.75">
      <c r="A101" s="190">
        <f>A100+1</f>
        <v>2019</v>
      </c>
      <c r="B101" s="191"/>
      <c r="C101" s="192">
        <f>('Quadro de Despesa'!I18)</f>
        <v>345775.58999999997</v>
      </c>
      <c r="D101" s="193"/>
      <c r="E101" s="202">
        <f>(C101/(C100/100))-100</f>
        <v>180.7599974016905</v>
      </c>
      <c r="F101" s="203"/>
    </row>
    <row r="102" spans="1:6" ht="12.75">
      <c r="A102" s="190">
        <f>A101+1</f>
        <v>2020</v>
      </c>
      <c r="B102" s="191"/>
      <c r="C102" s="192">
        <f>('Quadro de Despesa'!J18)</f>
        <v>369982.20129999996</v>
      </c>
      <c r="D102" s="193"/>
      <c r="E102" s="202">
        <f>(C102/(C101/100))-100</f>
        <v>7.000670955402029</v>
      </c>
      <c r="F102" s="203"/>
    </row>
    <row r="103" spans="1:6" ht="12.75">
      <c r="A103" s="204">
        <f>A102+1</f>
        <v>2021</v>
      </c>
      <c r="B103" s="205"/>
      <c r="C103" s="187">
        <f>('Quadro de Despesa'!K18)</f>
        <v>395880.95539099997</v>
      </c>
      <c r="D103" s="188"/>
      <c r="E103" s="206">
        <f>(C103/(C102/100))-100</f>
        <v>7</v>
      </c>
      <c r="F103" s="207"/>
    </row>
    <row r="105" ht="12.75">
      <c r="A105" s="9" t="s">
        <v>30</v>
      </c>
    </row>
    <row r="106" spans="1:7" ht="12.75">
      <c r="A106" s="7" t="s">
        <v>217</v>
      </c>
      <c r="B106" s="7"/>
      <c r="C106" s="7"/>
      <c r="D106" s="7"/>
      <c r="E106" s="7"/>
      <c r="F106" s="7"/>
      <c r="G106" s="7"/>
    </row>
    <row r="107" ht="12.75">
      <c r="A107" t="s">
        <v>218</v>
      </c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.75">
      <c r="A112" s="3"/>
      <c r="B112" s="3"/>
      <c r="C112" s="173" t="s">
        <v>253</v>
      </c>
      <c r="D112" s="173"/>
      <c r="E112" s="173"/>
      <c r="F112" s="173"/>
      <c r="G112" s="173"/>
      <c r="H112" s="173"/>
      <c r="I112" s="173"/>
    </row>
    <row r="113" spans="2:7" ht="12.75">
      <c r="B113" s="3"/>
      <c r="C113" s="176" t="s">
        <v>21</v>
      </c>
      <c r="D113" s="176"/>
      <c r="E113" s="176"/>
      <c r="F113" s="176"/>
      <c r="G113" s="176"/>
    </row>
    <row r="114" spans="1:7" ht="12.75">
      <c r="A114" s="3"/>
      <c r="B114" s="3"/>
      <c r="C114" s="176" t="s">
        <v>22</v>
      </c>
      <c r="D114" s="176"/>
      <c r="E114" s="176"/>
      <c r="F114" s="176"/>
      <c r="G114" s="176"/>
    </row>
    <row r="115" spans="1:9" ht="12.75">
      <c r="A115" s="3"/>
      <c r="B115" s="3"/>
      <c r="C115" s="176" t="s">
        <v>23</v>
      </c>
      <c r="D115" s="176"/>
      <c r="E115" s="176"/>
      <c r="F115" s="176"/>
      <c r="G115" s="176"/>
      <c r="H115" s="176"/>
      <c r="I115" s="176"/>
    </row>
    <row r="116" spans="1:7" ht="12.75">
      <c r="A116" s="3"/>
      <c r="B116" s="3"/>
      <c r="C116" s="176" t="s">
        <v>59</v>
      </c>
      <c r="D116" s="176"/>
      <c r="E116" s="176"/>
      <c r="F116" s="176"/>
      <c r="G116" s="176"/>
    </row>
    <row r="117" spans="1:7" ht="12.75">
      <c r="A117" s="3"/>
      <c r="B117" s="3"/>
      <c r="C117" s="176" t="s">
        <v>25</v>
      </c>
      <c r="D117" s="176"/>
      <c r="E117" s="176"/>
      <c r="F117" s="176"/>
      <c r="G117" s="176"/>
    </row>
    <row r="118" spans="1:9" ht="12.75">
      <c r="A118" s="8"/>
      <c r="B118" s="8"/>
      <c r="C118" s="8"/>
      <c r="D118" s="8"/>
      <c r="E118" s="8"/>
      <c r="F118" s="8"/>
      <c r="G118" s="8"/>
      <c r="H118" s="8"/>
      <c r="I118" s="8"/>
    </row>
    <row r="119" spans="1:4" ht="12.75">
      <c r="A119" s="208" t="s">
        <v>53</v>
      </c>
      <c r="B119" s="208"/>
      <c r="C119" s="208"/>
      <c r="D119" s="208"/>
    </row>
    <row r="121" spans="1:6" ht="12.75">
      <c r="A121" s="198" t="s">
        <v>27</v>
      </c>
      <c r="B121" s="199"/>
      <c r="C121" s="198" t="s">
        <v>28</v>
      </c>
      <c r="D121" s="199"/>
      <c r="E121" s="198" t="s">
        <v>29</v>
      </c>
      <c r="F121" s="199"/>
    </row>
    <row r="122" spans="1:6" ht="12.75">
      <c r="A122" s="194">
        <v>2016</v>
      </c>
      <c r="B122" s="195"/>
      <c r="C122" s="196">
        <f>('Quadro de Despesa'!F19)</f>
        <v>0</v>
      </c>
      <c r="D122" s="197"/>
      <c r="E122" s="222">
        <v>0</v>
      </c>
      <c r="F122" s="223"/>
    </row>
    <row r="123" spans="1:6" ht="12.75">
      <c r="A123" s="190">
        <f>A122+1</f>
        <v>2017</v>
      </c>
      <c r="B123" s="191"/>
      <c r="C123" s="192">
        <f>('Quadro de Despesa'!G19)</f>
        <v>0</v>
      </c>
      <c r="D123" s="193"/>
      <c r="E123" s="202">
        <v>0</v>
      </c>
      <c r="F123" s="203"/>
    </row>
    <row r="124" spans="1:6" ht="12.75">
      <c r="A124" s="190">
        <f>A123+1</f>
        <v>2018</v>
      </c>
      <c r="B124" s="191"/>
      <c r="C124" s="192">
        <f>('Quadro de Despesa'!H19)</f>
        <v>253500</v>
      </c>
      <c r="D124" s="193"/>
      <c r="E124" s="202">
        <v>0</v>
      </c>
      <c r="F124" s="203"/>
    </row>
    <row r="125" spans="1:6" ht="12.75">
      <c r="A125" s="190">
        <f>A124+1</f>
        <v>2019</v>
      </c>
      <c r="B125" s="191"/>
      <c r="C125" s="192">
        <f>('Quadro de Despesa'!I19)</f>
        <v>271245</v>
      </c>
      <c r="D125" s="193"/>
      <c r="E125" s="202">
        <f>(C125/(C124/100))-100</f>
        <v>7</v>
      </c>
      <c r="F125" s="203"/>
    </row>
    <row r="126" spans="1:6" ht="12.75">
      <c r="A126" s="190">
        <f>A125+1</f>
        <v>2020</v>
      </c>
      <c r="B126" s="191"/>
      <c r="C126" s="192">
        <f>('Quadro de Despesa'!J19)</f>
        <v>290232.15</v>
      </c>
      <c r="D126" s="193"/>
      <c r="E126" s="202">
        <f>(C126/(C125/100))-100</f>
        <v>7.000000000000014</v>
      </c>
      <c r="F126" s="203"/>
    </row>
    <row r="127" spans="1:6" ht="12.75">
      <c r="A127" s="204">
        <f>A126+1</f>
        <v>2021</v>
      </c>
      <c r="B127" s="205"/>
      <c r="C127" s="187">
        <v>76200.74</v>
      </c>
      <c r="D127" s="188"/>
      <c r="E127" s="206">
        <v>2.5</v>
      </c>
      <c r="F127" s="207"/>
    </row>
    <row r="129" ht="12.75">
      <c r="A129" s="9" t="s">
        <v>30</v>
      </c>
    </row>
    <row r="130" spans="1:9" ht="12.75">
      <c r="A130" s="176" t="s">
        <v>219</v>
      </c>
      <c r="B130" s="176"/>
      <c r="C130" s="176"/>
      <c r="D130" s="176"/>
      <c r="E130" s="176"/>
      <c r="F130" s="176"/>
      <c r="G130" s="176"/>
      <c r="H130" s="176"/>
      <c r="I130" s="176"/>
    </row>
    <row r="131" spans="1:9" ht="12.75">
      <c r="A131" t="s">
        <v>232</v>
      </c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209"/>
      <c r="B133" s="209"/>
      <c r="C133" s="209"/>
      <c r="D133" s="3"/>
      <c r="E133" s="3"/>
      <c r="F133" s="3"/>
      <c r="G133" s="3"/>
      <c r="H133" s="3"/>
      <c r="I133" s="3"/>
    </row>
    <row r="134" spans="2:9" ht="12.75"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224"/>
      <c r="B135" s="224"/>
      <c r="C135" s="224"/>
      <c r="D135" s="224"/>
      <c r="E135" s="224"/>
      <c r="F135" s="224"/>
      <c r="G135" s="3"/>
      <c r="H135" s="3"/>
      <c r="I135" s="3"/>
    </row>
    <row r="136" spans="1:9" ht="12.75">
      <c r="A136" s="224"/>
      <c r="B136" s="224"/>
      <c r="C136" s="225"/>
      <c r="D136" s="225"/>
      <c r="E136" s="224"/>
      <c r="F136" s="224"/>
      <c r="G136" s="3"/>
      <c r="H136" s="3"/>
      <c r="I136" s="3"/>
    </row>
    <row r="137" spans="1:9" ht="12.75">
      <c r="A137" s="224"/>
      <c r="B137" s="224"/>
      <c r="C137" s="225"/>
      <c r="D137" s="225"/>
      <c r="E137" s="226"/>
      <c r="F137" s="226"/>
      <c r="G137" s="3"/>
      <c r="H137" s="3"/>
      <c r="I137" s="3"/>
    </row>
    <row r="138" spans="1:9" ht="12.75">
      <c r="A138" s="224"/>
      <c r="B138" s="224"/>
      <c r="C138" s="225"/>
      <c r="D138" s="225"/>
      <c r="E138" s="226"/>
      <c r="F138" s="226"/>
      <c r="G138" s="3"/>
      <c r="H138" s="3"/>
      <c r="I138" s="3"/>
    </row>
    <row r="139" spans="1:9" ht="12.75">
      <c r="A139" s="224"/>
      <c r="B139" s="224"/>
      <c r="C139" s="225"/>
      <c r="D139" s="225"/>
      <c r="E139" s="226"/>
      <c r="F139" s="226"/>
      <c r="G139" s="3"/>
      <c r="H139" s="3"/>
      <c r="I139" s="3"/>
    </row>
    <row r="140" spans="1:9" ht="12.75">
      <c r="A140" s="224"/>
      <c r="B140" s="224"/>
      <c r="C140" s="225"/>
      <c r="D140" s="225"/>
      <c r="E140" s="226"/>
      <c r="F140" s="226"/>
      <c r="G140" s="3"/>
      <c r="H140" s="3"/>
      <c r="I140" s="3"/>
    </row>
    <row r="141" spans="1:9" ht="12.75">
      <c r="A141" s="224"/>
      <c r="B141" s="224"/>
      <c r="C141" s="225"/>
      <c r="D141" s="225"/>
      <c r="E141" s="226"/>
      <c r="F141" s="226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11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170"/>
      <c r="B144" s="170"/>
      <c r="C144" s="170"/>
      <c r="D144" s="170"/>
      <c r="E144" s="170"/>
      <c r="F144" s="170"/>
      <c r="G144" s="170"/>
      <c r="H144" s="170"/>
      <c r="I144" s="3"/>
    </row>
  </sheetData>
  <sheetProtection/>
  <mergeCells count="195">
    <mergeCell ref="A141:B141"/>
    <mergeCell ref="C141:D141"/>
    <mergeCell ref="E141:F141"/>
    <mergeCell ref="A139:B139"/>
    <mergeCell ref="C139:D139"/>
    <mergeCell ref="E139:F139"/>
    <mergeCell ref="C56:I56"/>
    <mergeCell ref="C112:I112"/>
    <mergeCell ref="A144:H144"/>
    <mergeCell ref="A130:I130"/>
    <mergeCell ref="A140:B140"/>
    <mergeCell ref="C140:D140"/>
    <mergeCell ref="E140:F140"/>
    <mergeCell ref="A137:B137"/>
    <mergeCell ref="C137:D137"/>
    <mergeCell ref="E137:F137"/>
    <mergeCell ref="A138:B138"/>
    <mergeCell ref="C138:D138"/>
    <mergeCell ref="E138:F138"/>
    <mergeCell ref="A127:B127"/>
    <mergeCell ref="C127:D127"/>
    <mergeCell ref="E127:F127"/>
    <mergeCell ref="A136:B136"/>
    <mergeCell ref="C136:D136"/>
    <mergeCell ref="E136:F136"/>
    <mergeCell ref="A125:B125"/>
    <mergeCell ref="C125:D125"/>
    <mergeCell ref="E125:F125"/>
    <mergeCell ref="A133:C133"/>
    <mergeCell ref="A135:B135"/>
    <mergeCell ref="C135:D135"/>
    <mergeCell ref="E135:F135"/>
    <mergeCell ref="A126:B126"/>
    <mergeCell ref="C126:D126"/>
    <mergeCell ref="E126:F126"/>
    <mergeCell ref="A123:B123"/>
    <mergeCell ref="C123:D123"/>
    <mergeCell ref="E123:F123"/>
    <mergeCell ref="A124:B124"/>
    <mergeCell ref="C124:D124"/>
    <mergeCell ref="E124:F124"/>
    <mergeCell ref="A119:D119"/>
    <mergeCell ref="A121:B121"/>
    <mergeCell ref="C121:D121"/>
    <mergeCell ref="E121:F121"/>
    <mergeCell ref="C117:G117"/>
    <mergeCell ref="A122:B122"/>
    <mergeCell ref="C122:D122"/>
    <mergeCell ref="E122:F122"/>
    <mergeCell ref="E102:F102"/>
    <mergeCell ref="A103:B103"/>
    <mergeCell ref="C103:D103"/>
    <mergeCell ref="E103:F103"/>
    <mergeCell ref="C113:G113"/>
    <mergeCell ref="C116:G116"/>
    <mergeCell ref="C114:G114"/>
    <mergeCell ref="C115:I115"/>
    <mergeCell ref="A102:B102"/>
    <mergeCell ref="C102:D102"/>
    <mergeCell ref="A100:B100"/>
    <mergeCell ref="C100:D100"/>
    <mergeCell ref="E100:F100"/>
    <mergeCell ref="A101:B101"/>
    <mergeCell ref="C101:D101"/>
    <mergeCell ref="E101:F101"/>
    <mergeCell ref="A98:B98"/>
    <mergeCell ref="C98:D98"/>
    <mergeCell ref="E98:F98"/>
    <mergeCell ref="A99:B99"/>
    <mergeCell ref="C99:D99"/>
    <mergeCell ref="E99:F99"/>
    <mergeCell ref="A95:C95"/>
    <mergeCell ref="A97:B97"/>
    <mergeCell ref="C97:D97"/>
    <mergeCell ref="E97:F97"/>
    <mergeCell ref="C86:D86"/>
    <mergeCell ref="E86:F86"/>
    <mergeCell ref="A87:B87"/>
    <mergeCell ref="C87:D87"/>
    <mergeCell ref="E87:F87"/>
    <mergeCell ref="A86:B86"/>
    <mergeCell ref="A82:B82"/>
    <mergeCell ref="C82:D82"/>
    <mergeCell ref="E82:F82"/>
    <mergeCell ref="A83:B83"/>
    <mergeCell ref="C83:D83"/>
    <mergeCell ref="E83:F83"/>
    <mergeCell ref="A84:B84"/>
    <mergeCell ref="C84:D84"/>
    <mergeCell ref="E84:F84"/>
    <mergeCell ref="A85:B85"/>
    <mergeCell ref="C85:D85"/>
    <mergeCell ref="E85:F85"/>
    <mergeCell ref="C70:D70"/>
    <mergeCell ref="E70:F70"/>
    <mergeCell ref="A79:D79"/>
    <mergeCell ref="A81:B81"/>
    <mergeCell ref="C81:D81"/>
    <mergeCell ref="E81:F81"/>
    <mergeCell ref="A68:B68"/>
    <mergeCell ref="C68:D68"/>
    <mergeCell ref="E68:F68"/>
    <mergeCell ref="A71:B71"/>
    <mergeCell ref="C71:D71"/>
    <mergeCell ref="E71:F71"/>
    <mergeCell ref="A69:B69"/>
    <mergeCell ref="C69:D69"/>
    <mergeCell ref="E69:F69"/>
    <mergeCell ref="A70:B70"/>
    <mergeCell ref="A66:B66"/>
    <mergeCell ref="C66:D66"/>
    <mergeCell ref="E66:F66"/>
    <mergeCell ref="A67:B67"/>
    <mergeCell ref="C67:D67"/>
    <mergeCell ref="E67:F67"/>
    <mergeCell ref="C60:G60"/>
    <mergeCell ref="C61:G61"/>
    <mergeCell ref="A65:B65"/>
    <mergeCell ref="C65:D65"/>
    <mergeCell ref="E65:F65"/>
    <mergeCell ref="A63:C63"/>
    <mergeCell ref="A47:B47"/>
    <mergeCell ref="C47:D47"/>
    <mergeCell ref="E47:F47"/>
    <mergeCell ref="A48:B48"/>
    <mergeCell ref="C48:D48"/>
    <mergeCell ref="E48:F48"/>
    <mergeCell ref="A46:B46"/>
    <mergeCell ref="C46:D46"/>
    <mergeCell ref="E46:F46"/>
    <mergeCell ref="A24:D24"/>
    <mergeCell ref="A45:B45"/>
    <mergeCell ref="C45:D45"/>
    <mergeCell ref="A44:B44"/>
    <mergeCell ref="C44:D44"/>
    <mergeCell ref="E44:F44"/>
    <mergeCell ref="E45:F45"/>
    <mergeCell ref="A42:B42"/>
    <mergeCell ref="C42:D42"/>
    <mergeCell ref="E42:F42"/>
    <mergeCell ref="A43:B43"/>
    <mergeCell ref="C43:D43"/>
    <mergeCell ref="E43:F43"/>
    <mergeCell ref="A32:B32"/>
    <mergeCell ref="C32:D32"/>
    <mergeCell ref="E32:F32"/>
    <mergeCell ref="A40:C40"/>
    <mergeCell ref="A30:B30"/>
    <mergeCell ref="C30:D30"/>
    <mergeCell ref="E30:F30"/>
    <mergeCell ref="A31:B31"/>
    <mergeCell ref="C31:D31"/>
    <mergeCell ref="E31:F31"/>
    <mergeCell ref="C29:D29"/>
    <mergeCell ref="E29:F29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E10:F10"/>
    <mergeCell ref="C4:I4"/>
    <mergeCell ref="A11:B11"/>
    <mergeCell ref="C11:D11"/>
    <mergeCell ref="E11:F11"/>
    <mergeCell ref="A12:B12"/>
    <mergeCell ref="C12:D12"/>
    <mergeCell ref="E12:F12"/>
    <mergeCell ref="C59:I59"/>
    <mergeCell ref="A26:B26"/>
    <mergeCell ref="C26:D26"/>
    <mergeCell ref="E26:F26"/>
    <mergeCell ref="A27:B27"/>
    <mergeCell ref="C27:D27"/>
    <mergeCell ref="E27:F27"/>
    <mergeCell ref="C28:D28"/>
    <mergeCell ref="E28:F28"/>
    <mergeCell ref="A29:B29"/>
    <mergeCell ref="C57:G57"/>
    <mergeCell ref="C58:G58"/>
    <mergeCell ref="A28:B28"/>
    <mergeCell ref="C2:G2"/>
    <mergeCell ref="C3:G3"/>
    <mergeCell ref="C1:J1"/>
    <mergeCell ref="C5:G5"/>
    <mergeCell ref="C6:G6"/>
    <mergeCell ref="A10:B10"/>
    <mergeCell ref="C10:D10"/>
  </mergeCells>
  <printOptions/>
  <pageMargins left="0.787401575" right="0.787401575" top="0.984251969" bottom="0.984251969" header="0.492125985" footer="0.492125985"/>
  <pageSetup horizontalDpi="600" verticalDpi="600" orientation="portrait" paperSize="9" scale="89" r:id="rId2"/>
  <rowBreaks count="2" manualBreakCount="2">
    <brk id="54" max="255" man="1"/>
    <brk id="11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showGridLines="0" view="pageBreakPreview" zoomScale="70" zoomScaleSheetLayoutView="70" zoomScalePageLayoutView="0" workbookViewId="0" topLeftCell="A1">
      <selection activeCell="J23" sqref="J23"/>
    </sheetView>
  </sheetViews>
  <sheetFormatPr defaultColWidth="9.140625" defaultRowHeight="12.75"/>
  <cols>
    <col min="6" max="6" width="13.7109375" style="0" customWidth="1"/>
    <col min="7" max="7" width="14.28125" style="0" customWidth="1"/>
    <col min="8" max="8" width="14.8515625" style="0" customWidth="1"/>
    <col min="9" max="11" width="14.7109375" style="0" bestFit="1" customWidth="1"/>
  </cols>
  <sheetData>
    <row r="1" spans="2:9" ht="15.75">
      <c r="B1" s="173" t="s">
        <v>253</v>
      </c>
      <c r="C1" s="173"/>
      <c r="D1" s="173"/>
      <c r="E1" s="173"/>
      <c r="F1" s="173"/>
      <c r="G1" s="173"/>
      <c r="H1" s="173"/>
      <c r="I1" s="173"/>
    </row>
    <row r="2" spans="2:6" ht="12.75">
      <c r="B2" s="176" t="s">
        <v>21</v>
      </c>
      <c r="C2" s="176"/>
      <c r="D2" s="176"/>
      <c r="E2" s="176"/>
      <c r="F2" s="176"/>
    </row>
    <row r="3" spans="2:8" ht="12.75">
      <c r="B3" s="180" t="s">
        <v>22</v>
      </c>
      <c r="C3" s="180"/>
      <c r="D3" s="180"/>
      <c r="E3" s="180"/>
      <c r="F3" s="180"/>
      <c r="G3" s="12"/>
      <c r="H3" s="12"/>
    </row>
    <row r="4" spans="2:8" ht="12.75">
      <c r="B4" s="227" t="s">
        <v>231</v>
      </c>
      <c r="C4" s="227"/>
      <c r="D4" s="227"/>
      <c r="E4" s="227"/>
      <c r="F4" s="227"/>
      <c r="G4" s="227"/>
      <c r="H4" s="227"/>
    </row>
    <row r="5" spans="2:8" ht="12.75">
      <c r="B5" s="227" t="s">
        <v>61</v>
      </c>
      <c r="C5" s="227"/>
      <c r="D5" s="227"/>
      <c r="E5" s="227"/>
      <c r="F5" s="227"/>
      <c r="G5" s="35"/>
      <c r="H5" s="35"/>
    </row>
    <row r="6" spans="2:8" ht="12.75">
      <c r="B6" s="227" t="s">
        <v>25</v>
      </c>
      <c r="C6" s="227"/>
      <c r="D6" s="227"/>
      <c r="E6" s="227"/>
      <c r="F6" s="227"/>
      <c r="G6" s="35"/>
      <c r="H6" s="35"/>
    </row>
    <row r="7" ht="3.75" customHeight="1"/>
    <row r="8" spans="1:11" ht="12.75">
      <c r="A8" s="177" t="s">
        <v>0</v>
      </c>
      <c r="B8" s="177"/>
      <c r="C8" s="177"/>
      <c r="D8" s="177"/>
      <c r="E8" s="177"/>
      <c r="F8" s="104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f>+J8+1</f>
        <v>2021</v>
      </c>
    </row>
    <row r="9" spans="1:11" ht="12.75">
      <c r="A9" s="228" t="s">
        <v>62</v>
      </c>
      <c r="B9" s="229"/>
      <c r="C9" s="229"/>
      <c r="D9" s="229"/>
      <c r="E9" s="230"/>
      <c r="F9" s="93">
        <f>'Quadro de Receitas'!F10</f>
        <v>15843651.29</v>
      </c>
      <c r="G9" s="72">
        <f>('Quadro de Receitas'!G10)</f>
        <v>15927019.9</v>
      </c>
      <c r="H9" s="72">
        <f>'Quadro de Receitas'!H10</f>
        <v>13338000</v>
      </c>
      <c r="I9" s="72">
        <f>('Quadro de Receitas'!I10)</f>
        <v>15410180</v>
      </c>
      <c r="J9" s="72">
        <f>'Quadro de Receitas'!J10</f>
        <v>16488890.250000002</v>
      </c>
      <c r="K9" s="72">
        <f>('Quadro de Receitas'!K10)</f>
        <v>17643112.567500003</v>
      </c>
    </row>
    <row r="10" spans="1:11" ht="12.75">
      <c r="A10" s="231" t="s">
        <v>63</v>
      </c>
      <c r="B10" s="232"/>
      <c r="C10" s="232"/>
      <c r="D10" s="232"/>
      <c r="E10" s="233"/>
      <c r="F10" s="94">
        <f>'Quadro de Receitas'!F11</f>
        <v>159058.37</v>
      </c>
      <c r="G10" s="67">
        <f>('Quadro de Receitas'!G11)</f>
        <v>456848.35</v>
      </c>
      <c r="H10" s="67">
        <f>'Quadro de Receitas'!H11</f>
        <v>518300</v>
      </c>
      <c r="I10" s="67">
        <f>('Quadro de Receitas'!I11)</f>
        <v>554581</v>
      </c>
      <c r="J10" s="67">
        <f>('Quadro de Receitas'!J11)</f>
        <v>593401.67</v>
      </c>
      <c r="K10" s="67">
        <f>('Quadro de Receitas'!K11)</f>
        <v>634939.7869000001</v>
      </c>
    </row>
    <row r="11" spans="1:11" ht="12.75">
      <c r="A11" s="231" t="s">
        <v>64</v>
      </c>
      <c r="B11" s="232"/>
      <c r="C11" s="232"/>
      <c r="D11" s="232"/>
      <c r="E11" s="233"/>
      <c r="F11" s="94">
        <f>'Quadro de Receitas'!F12</f>
        <v>28036.86</v>
      </c>
      <c r="G11" s="67">
        <f>('Quadro de Receitas'!G12)</f>
        <v>0</v>
      </c>
      <c r="H11" s="67">
        <f>'Quadro de Receitas'!H12</f>
        <v>50000</v>
      </c>
      <c r="I11" s="67">
        <f>('Quadro de Receitas'!I12)</f>
        <v>53500</v>
      </c>
      <c r="J11" s="67">
        <f>('Quadro de Receitas'!J12)</f>
        <v>57245</v>
      </c>
      <c r="K11" s="67">
        <f>('Quadro de Receitas'!K12)</f>
        <v>61252.15</v>
      </c>
    </row>
    <row r="12" spans="1:11" ht="12.75">
      <c r="A12" s="231" t="s">
        <v>33</v>
      </c>
      <c r="B12" s="232"/>
      <c r="C12" s="232"/>
      <c r="D12" s="232"/>
      <c r="E12" s="233"/>
      <c r="F12" s="94">
        <f>'Quadro de Receitas'!F13</f>
        <v>121807.94</v>
      </c>
      <c r="G12" s="67">
        <f>('Quadro de Receitas'!G13)</f>
        <v>94011.27</v>
      </c>
      <c r="H12" s="67">
        <f>'Quadro de Receitas'!H13</f>
        <v>168500</v>
      </c>
      <c r="I12" s="67">
        <f>('Quadro de Receitas'!I13)</f>
        <v>180295</v>
      </c>
      <c r="J12" s="67">
        <f>('Quadro de Receitas'!J13)</f>
        <v>192915.65</v>
      </c>
      <c r="K12" s="67">
        <f>('Quadro de Receitas'!K13)</f>
        <v>206419.7455</v>
      </c>
    </row>
    <row r="13" spans="1:11" ht="12.75">
      <c r="A13" s="231" t="s">
        <v>65</v>
      </c>
      <c r="B13" s="232"/>
      <c r="C13" s="232"/>
      <c r="D13" s="232"/>
      <c r="E13" s="233"/>
      <c r="F13" s="94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12.75">
      <c r="A14" s="231" t="s">
        <v>66</v>
      </c>
      <c r="B14" s="232"/>
      <c r="C14" s="232"/>
      <c r="D14" s="232"/>
      <c r="E14" s="233"/>
      <c r="F14" s="94">
        <v>0</v>
      </c>
      <c r="G14" s="67">
        <v>0</v>
      </c>
      <c r="H14" s="67">
        <v>0</v>
      </c>
      <c r="I14" s="67">
        <v>0</v>
      </c>
      <c r="J14" s="67">
        <f>J12-J13</f>
        <v>192915.65</v>
      </c>
      <c r="K14" s="67">
        <f>K12-K13</f>
        <v>206419.7455</v>
      </c>
    </row>
    <row r="15" spans="1:11" ht="12.75">
      <c r="A15" s="231" t="s">
        <v>34</v>
      </c>
      <c r="B15" s="232"/>
      <c r="C15" s="232"/>
      <c r="D15" s="232"/>
      <c r="E15" s="233"/>
      <c r="F15" s="94">
        <f>('Quadro de Receitas'!F14)</f>
        <v>0</v>
      </c>
      <c r="G15" s="67">
        <f>('Quadro de Receitas'!G14)</f>
        <v>0</v>
      </c>
      <c r="H15" s="67">
        <f>('Quadro de Receitas'!H14)</f>
        <v>0</v>
      </c>
      <c r="I15" s="67">
        <f>('Quadro de Receitas'!I14)</f>
        <v>0</v>
      </c>
      <c r="J15" s="67">
        <f>('Quadro de Receitas'!J14)</f>
        <v>0</v>
      </c>
      <c r="K15" s="67">
        <f>('Quadro de Receitas'!K14)</f>
        <v>0</v>
      </c>
    </row>
    <row r="16" spans="1:11" ht="12.75">
      <c r="A16" s="231" t="s">
        <v>35</v>
      </c>
      <c r="B16" s="232"/>
      <c r="C16" s="232"/>
      <c r="D16" s="232"/>
      <c r="E16" s="233"/>
      <c r="F16" s="94">
        <f>('Quadro de Receitas'!F15)</f>
        <v>0</v>
      </c>
      <c r="G16" s="67">
        <f>('Quadro de Receitas'!G15)</f>
        <v>0</v>
      </c>
      <c r="H16" s="67">
        <f>('Quadro de Receitas'!H15)</f>
        <v>0</v>
      </c>
      <c r="I16" s="67">
        <f>('Quadro de Receitas'!I15)</f>
        <v>0</v>
      </c>
      <c r="J16" s="67">
        <f>('Quadro de Receitas'!J15)</f>
        <v>0</v>
      </c>
      <c r="K16" s="67">
        <f>('Quadro de Receitas'!K15)</f>
        <v>0</v>
      </c>
    </row>
    <row r="17" spans="1:11" ht="12.75">
      <c r="A17" s="231" t="s">
        <v>36</v>
      </c>
      <c r="B17" s="232"/>
      <c r="C17" s="232"/>
      <c r="D17" s="232"/>
      <c r="E17" s="233"/>
      <c r="F17" s="94">
        <f>'Quadro de Receitas'!F16</f>
        <v>0</v>
      </c>
      <c r="G17" s="67">
        <f>('Quadro de Receitas'!G16)</f>
        <v>0</v>
      </c>
      <c r="H17" s="67">
        <f>'Quadro de Receitas'!H16</f>
        <v>0</v>
      </c>
      <c r="I17" s="67">
        <f>('Quadro de Receitas'!I16)</f>
        <v>0</v>
      </c>
      <c r="J17" s="67">
        <f>('Quadro de Receitas'!J16)</f>
        <v>0</v>
      </c>
      <c r="K17" s="67">
        <f>('Quadro de Receitas'!K16)</f>
        <v>0</v>
      </c>
    </row>
    <row r="18" spans="1:11" ht="12.75">
      <c r="A18" s="231" t="s">
        <v>37</v>
      </c>
      <c r="B18" s="232"/>
      <c r="C18" s="232"/>
      <c r="D18" s="232"/>
      <c r="E18" s="233"/>
      <c r="F18" s="94">
        <f>'Quadro de Receitas'!F17</f>
        <v>15498636.25</v>
      </c>
      <c r="G18" s="67">
        <f>('Quadro de Receitas'!G17)</f>
        <v>15359612.38</v>
      </c>
      <c r="H18" s="67">
        <f>('Quadro de Receitas'!H17)</f>
        <v>12549200</v>
      </c>
      <c r="I18" s="67">
        <f>('Quadro de Receitas'!I17)</f>
        <v>14566164</v>
      </c>
      <c r="J18" s="67">
        <f>('Quadro de Receitas'!J17)</f>
        <v>15585793.13</v>
      </c>
      <c r="K18" s="67">
        <f>('Quadro de Receitas'!K17)</f>
        <v>16676798.649100002</v>
      </c>
    </row>
    <row r="19" spans="1:11" ht="12.75">
      <c r="A19" s="231" t="s">
        <v>38</v>
      </c>
      <c r="B19" s="232"/>
      <c r="C19" s="232"/>
      <c r="D19" s="232"/>
      <c r="E19" s="233"/>
      <c r="F19" s="94">
        <f>'Quadro de Receitas'!F18</f>
        <v>36111.87</v>
      </c>
      <c r="G19" s="67">
        <f>('Quadro de Receitas'!G18)</f>
        <v>16547.9</v>
      </c>
      <c r="H19" s="67">
        <f>('Quadro de Receitas'!H18)</f>
        <v>52000</v>
      </c>
      <c r="I19" s="67">
        <f>('Quadro de Receitas'!I18)</f>
        <v>55640</v>
      </c>
      <c r="J19" s="67">
        <f>('Quadro de Receitas'!J18)</f>
        <v>59534.8</v>
      </c>
      <c r="K19" s="67">
        <f>('Quadro de Receitas'!K18)</f>
        <v>63702.236000000004</v>
      </c>
    </row>
    <row r="20" spans="1:11" ht="12.75">
      <c r="A20" s="231" t="s">
        <v>67</v>
      </c>
      <c r="B20" s="232"/>
      <c r="C20" s="232"/>
      <c r="D20" s="232"/>
      <c r="E20" s="233"/>
      <c r="F20" s="94">
        <f aca="true" t="shared" si="0" ref="F20:K20">SUM(F9-F13)</f>
        <v>15843651.29</v>
      </c>
      <c r="G20" s="67">
        <f t="shared" si="0"/>
        <v>15927019.9</v>
      </c>
      <c r="H20" s="67">
        <f t="shared" si="0"/>
        <v>13338000</v>
      </c>
      <c r="I20" s="67">
        <f t="shared" si="0"/>
        <v>15410180</v>
      </c>
      <c r="J20" s="67">
        <f t="shared" si="0"/>
        <v>16488890.250000002</v>
      </c>
      <c r="K20" s="67">
        <f t="shared" si="0"/>
        <v>17643112.567500003</v>
      </c>
    </row>
    <row r="21" spans="1:11" ht="12.75">
      <c r="A21" s="231" t="s">
        <v>68</v>
      </c>
      <c r="B21" s="232"/>
      <c r="C21" s="232"/>
      <c r="D21" s="232"/>
      <c r="E21" s="233"/>
      <c r="F21" s="94">
        <f>'Quadro de Receitas'!F19</f>
        <v>941751.2</v>
      </c>
      <c r="G21" s="67">
        <f>('Quadro de Receitas'!G19)</f>
        <v>4066.13</v>
      </c>
      <c r="H21" s="67">
        <f>('Quadro de Receitas'!H19)</f>
        <v>12342000</v>
      </c>
      <c r="I21" s="67">
        <f>('Quadro de Receitas'!I19)</f>
        <v>12067417.6</v>
      </c>
      <c r="J21" s="67">
        <f>('Quadro de Receitas'!J19)</f>
        <v>12912139.151999999</v>
      </c>
      <c r="K21" s="67">
        <f>('Quadro de Receitas'!K19)</f>
        <v>13356887.432639997</v>
      </c>
    </row>
    <row r="22" spans="1:11" ht="12.75">
      <c r="A22" s="231" t="s">
        <v>69</v>
      </c>
      <c r="B22" s="232"/>
      <c r="C22" s="232"/>
      <c r="D22" s="232"/>
      <c r="E22" s="233"/>
      <c r="F22" s="94">
        <f>('Quadro de Receitas'!F20)</f>
        <v>0</v>
      </c>
      <c r="G22" s="67">
        <f>('Quadro de Receitas'!G20)</f>
        <v>0</v>
      </c>
      <c r="H22" s="67">
        <f>('Quadro de Receitas'!H20)</f>
        <v>0</v>
      </c>
      <c r="I22" s="67">
        <f>('Quadro de Receitas'!I20)</f>
        <v>0</v>
      </c>
      <c r="J22" s="67">
        <f>('Quadro de Receitas'!J20)</f>
        <v>0</v>
      </c>
      <c r="K22" s="67">
        <f>('Quadro de Receitas'!K20)</f>
        <v>0</v>
      </c>
    </row>
    <row r="23" spans="1:11" ht="12.75">
      <c r="A23" s="231" t="s">
        <v>70</v>
      </c>
      <c r="B23" s="232"/>
      <c r="C23" s="232"/>
      <c r="D23" s="232"/>
      <c r="E23" s="233"/>
      <c r="F23" s="94">
        <f>('Quadro de Receitas'!F21)</f>
        <v>0</v>
      </c>
      <c r="G23" s="67">
        <f>('Quadro de Receitas'!G21)</f>
        <v>0</v>
      </c>
      <c r="H23" s="67">
        <f>('Quadro de Receitas'!H21)</f>
        <v>108000</v>
      </c>
      <c r="I23" s="67">
        <f>('Quadro de Receitas'!I21)</f>
        <v>115560</v>
      </c>
      <c r="J23" s="67">
        <f>('Quadro de Receitas'!J21)</f>
        <v>123649.2</v>
      </c>
      <c r="K23" s="67">
        <f>('Quadro de Receitas'!K21)</f>
        <v>132304.644</v>
      </c>
    </row>
    <row r="24" spans="1:11" ht="12.75">
      <c r="A24" s="231" t="s">
        <v>71</v>
      </c>
      <c r="B24" s="232"/>
      <c r="C24" s="232"/>
      <c r="D24" s="232"/>
      <c r="E24" s="233"/>
      <c r="F24" s="94">
        <f>('Quadro de Receitas'!F22)</f>
        <v>0</v>
      </c>
      <c r="G24" s="67">
        <v>0</v>
      </c>
      <c r="H24" s="67">
        <f>('Quadro de Receitas'!H22)</f>
        <v>0</v>
      </c>
      <c r="I24" s="67">
        <f>('Quadro de Receitas'!I22)</f>
        <v>0</v>
      </c>
      <c r="J24" s="67">
        <f>('Quadro de Receitas'!J22)</f>
        <v>0</v>
      </c>
      <c r="K24" s="67">
        <f>('Quadro de Receitas'!K22)</f>
        <v>0</v>
      </c>
    </row>
    <row r="25" spans="1:11" ht="12.75">
      <c r="A25" s="231" t="s">
        <v>40</v>
      </c>
      <c r="B25" s="232"/>
      <c r="C25" s="232"/>
      <c r="D25" s="232"/>
      <c r="E25" s="233"/>
      <c r="F25" s="94">
        <f>'Quadro de Receitas'!F23</f>
        <v>941751.2</v>
      </c>
      <c r="G25" s="67">
        <f>('Quadro de Receitas'!G23)</f>
        <v>4066.13</v>
      </c>
      <c r="H25" s="67">
        <f>('Quadro de Receitas'!H23)</f>
        <v>12234000</v>
      </c>
      <c r="I25" s="67">
        <f>('Quadro de Receitas'!I23)</f>
        <v>11951857.6</v>
      </c>
      <c r="J25" s="67">
        <f>('Quadro de Receitas'!J23)</f>
        <v>12788489.952</v>
      </c>
      <c r="K25" s="67">
        <f>('Quadro de Receitas'!K23)</f>
        <v>13224582.788639998</v>
      </c>
    </row>
    <row r="26" spans="1:11" ht="12.75">
      <c r="A26" s="231" t="s">
        <v>72</v>
      </c>
      <c r="B26" s="232"/>
      <c r="C26" s="232"/>
      <c r="D26" s="232"/>
      <c r="E26" s="233"/>
      <c r="F26" s="94">
        <f>'Quadro de Receitas'!F24</f>
        <v>0</v>
      </c>
      <c r="G26" s="67">
        <f>'Quadro de Receitas'!G24</f>
        <v>0</v>
      </c>
      <c r="H26" s="67">
        <f>'Quadro de Receitas'!H24</f>
        <v>0</v>
      </c>
      <c r="I26" s="67">
        <f>'Quadro de Receitas'!I24</f>
        <v>0</v>
      </c>
      <c r="J26" s="67">
        <f>'Quadro de Receitas'!J24</f>
        <v>0</v>
      </c>
      <c r="K26" s="67">
        <f>'Quadro de Receitas'!K24</f>
        <v>0</v>
      </c>
    </row>
    <row r="27" spans="1:11" ht="12.75">
      <c r="A27" s="231" t="s">
        <v>73</v>
      </c>
      <c r="B27" s="232"/>
      <c r="C27" s="232"/>
      <c r="D27" s="232"/>
      <c r="E27" s="233"/>
      <c r="F27" s="94">
        <f aca="true" t="shared" si="1" ref="F27:K27">SUM(F21-F22-F23-F24)</f>
        <v>941751.2</v>
      </c>
      <c r="G27" s="67">
        <f t="shared" si="1"/>
        <v>4066.13</v>
      </c>
      <c r="H27" s="67">
        <f t="shared" si="1"/>
        <v>12234000</v>
      </c>
      <c r="I27" s="67">
        <f t="shared" si="1"/>
        <v>11951857.6</v>
      </c>
      <c r="J27" s="67">
        <f t="shared" si="1"/>
        <v>12788489.952</v>
      </c>
      <c r="K27" s="67">
        <f t="shared" si="1"/>
        <v>13224582.788639998</v>
      </c>
    </row>
    <row r="28" spans="1:11" ht="12" customHeight="1">
      <c r="A28" s="238" t="s">
        <v>74</v>
      </c>
      <c r="B28" s="186"/>
      <c r="C28" s="186"/>
      <c r="D28" s="186"/>
      <c r="E28" s="239"/>
      <c r="F28" s="245">
        <f aca="true" t="shared" si="2" ref="F28:K28">SUM(F20+F27)</f>
        <v>16785402.49</v>
      </c>
      <c r="G28" s="234">
        <f t="shared" si="2"/>
        <v>15931086.030000001</v>
      </c>
      <c r="H28" s="236">
        <f t="shared" si="2"/>
        <v>25572000</v>
      </c>
      <c r="I28" s="236">
        <f t="shared" si="2"/>
        <v>27362037.6</v>
      </c>
      <c r="J28" s="240">
        <f t="shared" si="2"/>
        <v>29277380.202</v>
      </c>
      <c r="K28" s="236">
        <f t="shared" si="2"/>
        <v>30867695.356140003</v>
      </c>
    </row>
    <row r="29" spans="1:11" ht="10.5" customHeight="1">
      <c r="A29" s="242" t="s">
        <v>75</v>
      </c>
      <c r="B29" s="243"/>
      <c r="C29" s="243"/>
      <c r="D29" s="243"/>
      <c r="E29" s="244"/>
      <c r="F29" s="246"/>
      <c r="G29" s="235"/>
      <c r="H29" s="237"/>
      <c r="I29" s="237"/>
      <c r="J29" s="241"/>
      <c r="K29" s="237"/>
    </row>
    <row r="30" spans="1:11" ht="12.75">
      <c r="A30" s="249" t="s">
        <v>76</v>
      </c>
      <c r="B30" s="249"/>
      <c r="C30" s="249"/>
      <c r="D30" s="249"/>
      <c r="E30" s="249"/>
      <c r="F30" s="95">
        <f>'Quadro de Receitas'!F25</f>
        <v>16785402.49</v>
      </c>
      <c r="G30" s="95">
        <f>'Quadro de Receitas'!G25</f>
        <v>15931086.030000001</v>
      </c>
      <c r="H30" s="95">
        <f>'Quadro de Receitas'!H25</f>
        <v>25680000</v>
      </c>
      <c r="I30" s="95">
        <f>'Quadro de Receitas'!I25</f>
        <v>27477597.6</v>
      </c>
      <c r="J30" s="95">
        <f>'Quadro de Receitas'!J25</f>
        <v>29401029.402000003</v>
      </c>
      <c r="K30" s="95">
        <f>'Quadro de Receitas'!K25</f>
        <v>31000000.00014</v>
      </c>
    </row>
    <row r="31" spans="1:11" ht="12.75">
      <c r="A31" s="253" t="s">
        <v>77</v>
      </c>
      <c r="B31" s="254"/>
      <c r="C31" s="254"/>
      <c r="D31" s="254"/>
      <c r="E31" s="255"/>
      <c r="F31" s="93">
        <f>('Quadro de Despesa'!F10)</f>
        <v>13713953.21</v>
      </c>
      <c r="G31" s="72">
        <f>('Quadro de Despesa'!G10)</f>
        <v>15213376.79</v>
      </c>
      <c r="H31" s="72">
        <f>('Quadro de Despesa'!H10)</f>
        <v>19536310</v>
      </c>
      <c r="I31" s="72">
        <f>('Quadro de Despesa'!I10)</f>
        <v>20903851.7</v>
      </c>
      <c r="J31" s="72">
        <f>('Quadro de Despesa'!J10)</f>
        <v>22367118.969</v>
      </c>
      <c r="K31" s="72">
        <f>('Quadro de Despesa'!K10)</f>
        <v>23932817.296830002</v>
      </c>
    </row>
    <row r="32" spans="1:11" ht="12.75">
      <c r="A32" s="250" t="s">
        <v>54</v>
      </c>
      <c r="B32" s="251"/>
      <c r="C32" s="251"/>
      <c r="D32" s="251"/>
      <c r="E32" s="252"/>
      <c r="F32" s="94">
        <f>('Quadro de Despesa'!F11)</f>
        <v>8998954.07</v>
      </c>
      <c r="G32" s="67">
        <f>('Quadro de Despesa'!G11)</f>
        <v>11042498.63</v>
      </c>
      <c r="H32" s="67">
        <f>('Quadro de Despesa'!H11)</f>
        <v>8268036</v>
      </c>
      <c r="I32" s="67">
        <f>('Quadro de Despesa'!I11)</f>
        <v>8846798.52</v>
      </c>
      <c r="J32" s="67">
        <f>('Quadro de Despesa'!J11)</f>
        <v>9466074.4164</v>
      </c>
      <c r="K32" s="67">
        <f>('Quadro de Despesa'!K11)</f>
        <v>10128699.625548001</v>
      </c>
    </row>
    <row r="33" spans="1:11" ht="12.75">
      <c r="A33" s="250" t="s">
        <v>78</v>
      </c>
      <c r="B33" s="251"/>
      <c r="C33" s="251"/>
      <c r="D33" s="251"/>
      <c r="E33" s="252"/>
      <c r="F33" s="94">
        <f>('Quadro de Despesa'!F12)</f>
        <v>0</v>
      </c>
      <c r="G33" s="67">
        <v>0</v>
      </c>
      <c r="H33" s="67">
        <f>('Quadro de Despesa'!H12)</f>
        <v>51574</v>
      </c>
      <c r="I33" s="67">
        <f>('Quadro de Despesa'!I12)</f>
        <v>55184.18</v>
      </c>
      <c r="J33" s="67">
        <f>('Quadro de Despesa'!J12)</f>
        <v>59047.0726</v>
      </c>
      <c r="K33" s="67">
        <f>('Quadro de Despesa'!K12)</f>
        <v>63180.367682</v>
      </c>
    </row>
    <row r="34" spans="1:11" ht="12.75">
      <c r="A34" s="250" t="s">
        <v>56</v>
      </c>
      <c r="B34" s="251"/>
      <c r="C34" s="251"/>
      <c r="D34" s="251"/>
      <c r="E34" s="252"/>
      <c r="F34" s="94">
        <f>('Quadro de Despesa'!F13)</f>
        <v>4714999.14</v>
      </c>
      <c r="G34" s="67">
        <f>('Quadro de Despesa'!G13)</f>
        <v>4114456.13</v>
      </c>
      <c r="H34" s="67">
        <f>('Quadro de Despesa'!H13)</f>
        <v>11216700</v>
      </c>
      <c r="I34" s="67">
        <f>('Quadro de Despesa'!I13)</f>
        <v>12001869</v>
      </c>
      <c r="J34" s="67">
        <f>('Quadro de Despesa'!J13)</f>
        <v>12841997.48</v>
      </c>
      <c r="K34" s="67">
        <f>('Quadro de Despesa'!K13)</f>
        <v>13740937.3036</v>
      </c>
    </row>
    <row r="35" spans="1:11" ht="12.75">
      <c r="A35" s="250" t="s">
        <v>79</v>
      </c>
      <c r="B35" s="251"/>
      <c r="C35" s="251"/>
      <c r="D35" s="251"/>
      <c r="E35" s="252"/>
      <c r="F35" s="94">
        <f aca="true" t="shared" si="3" ref="F35:K35">SUM(F31-F33)</f>
        <v>13713953.21</v>
      </c>
      <c r="G35" s="67">
        <f t="shared" si="3"/>
        <v>15213376.79</v>
      </c>
      <c r="H35" s="67">
        <f t="shared" si="3"/>
        <v>19484736</v>
      </c>
      <c r="I35" s="67">
        <f t="shared" si="3"/>
        <v>20848667.52</v>
      </c>
      <c r="J35" s="67">
        <f t="shared" si="3"/>
        <v>22308071.8964</v>
      </c>
      <c r="K35" s="67">
        <f t="shared" si="3"/>
        <v>23869636.929148003</v>
      </c>
    </row>
    <row r="36" spans="1:11" ht="12.75">
      <c r="A36" s="250" t="s">
        <v>80</v>
      </c>
      <c r="B36" s="251"/>
      <c r="C36" s="251"/>
      <c r="D36" s="251"/>
      <c r="E36" s="252"/>
      <c r="F36" s="94">
        <f>('Quadro de Despesa'!F14)</f>
        <v>1162365.21</v>
      </c>
      <c r="G36" s="67">
        <f>('Quadro de Despesa'!G14)</f>
        <v>441700.28</v>
      </c>
      <c r="H36" s="67">
        <f>('Quadro de Despesa'!H14)</f>
        <v>5890190</v>
      </c>
      <c r="I36" s="67">
        <f>('Quadro de Despesa'!I14)</f>
        <v>6302500.9</v>
      </c>
      <c r="J36" s="67">
        <f>('Quadro de Despesa'!J14)</f>
        <v>6743678.283000001</v>
      </c>
      <c r="K36" s="67">
        <f>('Quadro de Despesa'!K14)</f>
        <v>6756634.302810001</v>
      </c>
    </row>
    <row r="37" spans="1:11" ht="12.75">
      <c r="A37" s="250" t="s">
        <v>57</v>
      </c>
      <c r="B37" s="251"/>
      <c r="C37" s="251"/>
      <c r="D37" s="251"/>
      <c r="E37" s="252"/>
      <c r="F37" s="94">
        <f>('Quadro de Despesa'!F15)</f>
        <v>799649.84</v>
      </c>
      <c r="G37" s="67">
        <f>('Quadro de Despesa'!G15)</f>
        <v>215463.16</v>
      </c>
      <c r="H37" s="67">
        <f>('Quadro de Despesa'!H15)</f>
        <v>5767033</v>
      </c>
      <c r="I37" s="67">
        <f>('Quadro de Despesa'!I15)</f>
        <v>5956725.3100000005</v>
      </c>
      <c r="J37" s="67">
        <f>('Quadro de Despesa'!J15)</f>
        <v>6373696.081700001</v>
      </c>
      <c r="K37" s="67">
        <f>('Quadro de Despesa'!K15)</f>
        <v>6360753.347419001</v>
      </c>
    </row>
    <row r="38" spans="1:11" ht="12.75">
      <c r="A38" s="250" t="s">
        <v>58</v>
      </c>
      <c r="B38" s="251"/>
      <c r="C38" s="251"/>
      <c r="D38" s="251"/>
      <c r="E38" s="252"/>
      <c r="F38" s="94">
        <f>('Quadro de Despesa'!F16)</f>
        <v>0</v>
      </c>
      <c r="G38" s="67">
        <f>('Quadro de Despesa'!G16)</f>
        <v>0</v>
      </c>
      <c r="H38" s="67">
        <f>('Quadro de Despesa'!H16)</f>
        <v>0</v>
      </c>
      <c r="I38" s="67">
        <f>('Quadro de Despesa'!I16)</f>
        <v>0</v>
      </c>
      <c r="J38" s="67">
        <f>('Quadro de Despesa'!J16)</f>
        <v>0</v>
      </c>
      <c r="K38" s="67">
        <f>('Quadro de Despesa'!K16)</f>
        <v>0</v>
      </c>
    </row>
    <row r="39" spans="1:11" ht="12.75">
      <c r="A39" s="250" t="s">
        <v>40</v>
      </c>
      <c r="B39" s="251"/>
      <c r="C39" s="251"/>
      <c r="D39" s="251"/>
      <c r="E39" s="252"/>
      <c r="F39" s="94">
        <f>('Quadro de Despesa'!F17)</f>
        <v>0</v>
      </c>
      <c r="G39" s="67">
        <f>('Quadro de Despesa'!G17)</f>
        <v>0</v>
      </c>
      <c r="H39" s="67">
        <f>('Quadro de Despesa'!H17)</f>
        <v>0</v>
      </c>
      <c r="I39" s="67">
        <f>('Quadro de Despesa'!I17)</f>
        <v>0</v>
      </c>
      <c r="J39" s="67">
        <f>('Quadro de Despesa'!J17)</f>
        <v>0</v>
      </c>
      <c r="K39" s="67">
        <f>('Quadro de Despesa'!K17)</f>
        <v>0</v>
      </c>
    </row>
    <row r="40" spans="1:11" ht="12.75">
      <c r="A40" s="250" t="s">
        <v>81</v>
      </c>
      <c r="B40" s="251"/>
      <c r="C40" s="251"/>
      <c r="D40" s="251"/>
      <c r="E40" s="252"/>
      <c r="F40" s="94">
        <f>('Quadro de Despesa'!F18)</f>
        <v>362715.37</v>
      </c>
      <c r="G40" s="67">
        <f>('Quadro de Despesa'!G18)</f>
        <v>226237.12</v>
      </c>
      <c r="H40" s="67">
        <f>('Quadro de Despesa'!H18)</f>
        <v>123157</v>
      </c>
      <c r="I40" s="67">
        <f>('Quadro de Despesa'!I18)</f>
        <v>345775.58999999997</v>
      </c>
      <c r="J40" s="67">
        <f>('Quadro de Despesa'!J18)</f>
        <v>369982.20129999996</v>
      </c>
      <c r="K40" s="67">
        <f>('Quadro de Despesa'!K18)</f>
        <v>395880.95539099997</v>
      </c>
    </row>
    <row r="41" spans="1:11" ht="12.75">
      <c r="A41" s="250" t="s">
        <v>82</v>
      </c>
      <c r="B41" s="251"/>
      <c r="C41" s="251"/>
      <c r="D41" s="251"/>
      <c r="E41" s="252"/>
      <c r="F41" s="94">
        <f aca="true" t="shared" si="4" ref="F41:K41">SUM(F36-F40)</f>
        <v>799649.84</v>
      </c>
      <c r="G41" s="67">
        <f t="shared" si="4"/>
        <v>215463.16000000003</v>
      </c>
      <c r="H41" s="67">
        <f t="shared" si="4"/>
        <v>5767033</v>
      </c>
      <c r="I41" s="67">
        <f t="shared" si="4"/>
        <v>5956725.3100000005</v>
      </c>
      <c r="J41" s="67">
        <f t="shared" si="4"/>
        <v>6373696.081700001</v>
      </c>
      <c r="K41" s="67">
        <f t="shared" si="4"/>
        <v>6360753.347419001</v>
      </c>
    </row>
    <row r="42" spans="1:11" ht="12.75">
      <c r="A42" s="250" t="s">
        <v>83</v>
      </c>
      <c r="B42" s="251"/>
      <c r="C42" s="251"/>
      <c r="D42" s="251"/>
      <c r="E42" s="252"/>
      <c r="F42" s="94">
        <f>('Quadro de Despesa'!F19)</f>
        <v>0</v>
      </c>
      <c r="G42" s="67">
        <f>('Quadro de Despesa'!G19)</f>
        <v>0</v>
      </c>
      <c r="H42" s="67">
        <f>('Quadro de Despesa'!H19)</f>
        <v>253500</v>
      </c>
      <c r="I42" s="67">
        <f>('Quadro de Despesa'!I19)</f>
        <v>271245</v>
      </c>
      <c r="J42" s="67">
        <f>('Quadro de Despesa'!J19)</f>
        <v>290232.15</v>
      </c>
      <c r="K42" s="67">
        <f>('Quadro de Despesa'!K19)</f>
        <v>310548.40050000005</v>
      </c>
    </row>
    <row r="43" spans="1:11" ht="11.25" customHeight="1">
      <c r="A43" s="238" t="s">
        <v>84</v>
      </c>
      <c r="B43" s="186"/>
      <c r="C43" s="186"/>
      <c r="D43" s="186"/>
      <c r="E43" s="239"/>
      <c r="F43" s="245">
        <f aca="true" t="shared" si="5" ref="F43:K43">SUM(F35+F41+F42)</f>
        <v>14513603.05</v>
      </c>
      <c r="G43" s="247">
        <f t="shared" si="5"/>
        <v>15428839.95</v>
      </c>
      <c r="H43" s="247">
        <f t="shared" si="5"/>
        <v>25505269</v>
      </c>
      <c r="I43" s="247">
        <f t="shared" si="5"/>
        <v>27076637.83</v>
      </c>
      <c r="J43" s="247">
        <f t="shared" si="5"/>
        <v>28972000.1281</v>
      </c>
      <c r="K43" s="247">
        <f t="shared" si="5"/>
        <v>30540938.677067004</v>
      </c>
    </row>
    <row r="44" spans="1:11" ht="10.5" customHeight="1">
      <c r="A44" s="242" t="s">
        <v>85</v>
      </c>
      <c r="B44" s="243"/>
      <c r="C44" s="243"/>
      <c r="D44" s="243"/>
      <c r="E44" s="244"/>
      <c r="F44" s="246"/>
      <c r="G44" s="248"/>
      <c r="H44" s="248"/>
      <c r="I44" s="248"/>
      <c r="J44" s="248"/>
      <c r="K44" s="248"/>
    </row>
    <row r="45" spans="1:11" ht="12.75">
      <c r="A45" s="249" t="s">
        <v>86</v>
      </c>
      <c r="B45" s="249"/>
      <c r="C45" s="249"/>
      <c r="D45" s="249"/>
      <c r="E45" s="249"/>
      <c r="F45" s="95">
        <f>('Quadro de Despesa'!F20)</f>
        <v>14876318.420000002</v>
      </c>
      <c r="G45" s="38">
        <f>('Quadro de Despesa'!G20)</f>
        <v>15655077.069999998</v>
      </c>
      <c r="H45" s="38">
        <f>('Quadro de Despesa'!H20)</f>
        <v>25680000</v>
      </c>
      <c r="I45" s="38">
        <f>('Quadro de Despesa'!I20)</f>
        <v>27477597.6</v>
      </c>
      <c r="J45" s="38">
        <f>('Quadro de Despesa'!J20)</f>
        <v>29401029.402000003</v>
      </c>
      <c r="K45" s="38">
        <f>('Quadro de Despesa'!K20)</f>
        <v>31000000.000140004</v>
      </c>
    </row>
    <row r="46" spans="1:11" ht="6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249" t="s">
        <v>87</v>
      </c>
      <c r="B47" s="249"/>
      <c r="C47" s="249"/>
      <c r="D47" s="249"/>
      <c r="E47" s="249"/>
      <c r="F47" s="39">
        <f aca="true" t="shared" si="6" ref="F47:K47">SUM(F28-F43)</f>
        <v>2271799.4399999976</v>
      </c>
      <c r="G47" s="39">
        <f t="shared" si="6"/>
        <v>502246.08000000194</v>
      </c>
      <c r="H47" s="39">
        <f t="shared" si="6"/>
        <v>66731</v>
      </c>
      <c r="I47" s="39">
        <f t="shared" si="6"/>
        <v>285399.7700000033</v>
      </c>
      <c r="J47" s="39">
        <f t="shared" si="6"/>
        <v>305380.07389999926</v>
      </c>
      <c r="K47" s="39">
        <f t="shared" si="6"/>
        <v>326756.67907299846</v>
      </c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8" ht="12.75">
      <c r="A49" s="180" t="s">
        <v>262</v>
      </c>
      <c r="B49" s="176"/>
      <c r="C49" s="176"/>
      <c r="D49" s="176"/>
      <c r="E49" s="176"/>
      <c r="F49" s="176"/>
      <c r="G49" s="7"/>
      <c r="H49" t="s">
        <v>226</v>
      </c>
    </row>
    <row r="50" spans="1:11" ht="12.75">
      <c r="A50" s="44"/>
      <c r="B50" s="44"/>
      <c r="C50" s="44"/>
      <c r="D50" s="44"/>
      <c r="E50" s="44"/>
      <c r="F50" s="44"/>
      <c r="G50" s="12"/>
      <c r="H50" s="12"/>
      <c r="I50" s="12"/>
      <c r="J50" s="12"/>
      <c r="K50" s="12"/>
    </row>
    <row r="51" spans="1:11" ht="12.75">
      <c r="A51" s="44"/>
      <c r="B51" s="44"/>
      <c r="C51" s="44"/>
      <c r="D51" s="44"/>
      <c r="E51" s="44"/>
      <c r="F51" s="44"/>
      <c r="G51" s="12"/>
      <c r="H51" s="12"/>
      <c r="I51" s="12"/>
      <c r="J51" s="12"/>
      <c r="K51" s="12"/>
    </row>
    <row r="52" spans="1:11" ht="12.75">
      <c r="A52" s="44"/>
      <c r="B52" s="44"/>
      <c r="C52" s="44"/>
      <c r="D52" s="44"/>
      <c r="E52" s="44"/>
      <c r="F52" s="44"/>
      <c r="G52" s="12"/>
      <c r="H52" s="12"/>
      <c r="I52" s="12"/>
      <c r="J52" s="12"/>
      <c r="K52" s="12"/>
    </row>
    <row r="53" spans="1:11" ht="12.75">
      <c r="A53" s="44"/>
      <c r="B53" s="44"/>
      <c r="C53" s="44"/>
      <c r="D53" s="44"/>
      <c r="E53" s="44"/>
      <c r="F53" s="44"/>
      <c r="G53" s="12"/>
      <c r="H53" s="12"/>
      <c r="I53" s="12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174" t="s">
        <v>254</v>
      </c>
      <c r="B55" s="174"/>
      <c r="C55" s="174"/>
      <c r="D55" s="174"/>
      <c r="E55" s="174"/>
      <c r="F55" s="174"/>
      <c r="G55" s="174"/>
      <c r="H55" s="174" t="s">
        <v>251</v>
      </c>
      <c r="I55" s="174"/>
      <c r="J55" s="174"/>
      <c r="K55" s="174"/>
    </row>
    <row r="56" spans="1:11" ht="12.75">
      <c r="A56" s="183" t="s">
        <v>26</v>
      </c>
      <c r="B56" s="183"/>
      <c r="C56" s="183"/>
      <c r="D56" s="183"/>
      <c r="E56" s="175"/>
      <c r="F56" s="175"/>
      <c r="G56" s="175"/>
      <c r="H56" s="175" t="s">
        <v>247</v>
      </c>
      <c r="I56" s="175"/>
      <c r="J56" s="175"/>
      <c r="K56" s="175"/>
    </row>
  </sheetData>
  <sheetProtection/>
  <mergeCells count="64">
    <mergeCell ref="B1:I1"/>
    <mergeCell ref="A38:E38"/>
    <mergeCell ref="A49:F49"/>
    <mergeCell ref="A39:E39"/>
    <mergeCell ref="A40:E40"/>
    <mergeCell ref="A41:E41"/>
    <mergeCell ref="A47:E47"/>
    <mergeCell ref="A42:E42"/>
    <mergeCell ref="A43:E43"/>
    <mergeCell ref="A44:E44"/>
    <mergeCell ref="A45:E45"/>
    <mergeCell ref="A34:E34"/>
    <mergeCell ref="A35:E35"/>
    <mergeCell ref="A36:E36"/>
    <mergeCell ref="A37:E37"/>
    <mergeCell ref="A30:E30"/>
    <mergeCell ref="A31:E31"/>
    <mergeCell ref="A32:E32"/>
    <mergeCell ref="A33:E33"/>
    <mergeCell ref="J28:J29"/>
    <mergeCell ref="K28:K29"/>
    <mergeCell ref="A29:E29"/>
    <mergeCell ref="F43:F44"/>
    <mergeCell ref="G43:G44"/>
    <mergeCell ref="H43:H44"/>
    <mergeCell ref="I43:I44"/>
    <mergeCell ref="J43:J44"/>
    <mergeCell ref="K43:K44"/>
    <mergeCell ref="F28:F29"/>
    <mergeCell ref="G28:G29"/>
    <mergeCell ref="H28:H29"/>
    <mergeCell ref="I28:I29"/>
    <mergeCell ref="A28:E28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3:E13"/>
    <mergeCell ref="A14:E14"/>
    <mergeCell ref="A15:E15"/>
    <mergeCell ref="A11:E11"/>
    <mergeCell ref="A8:E8"/>
    <mergeCell ref="A12:E12"/>
    <mergeCell ref="A10:E10"/>
    <mergeCell ref="B2:F2"/>
    <mergeCell ref="B3:F3"/>
    <mergeCell ref="B4:H4"/>
    <mergeCell ref="B5:F5"/>
    <mergeCell ref="B6:F6"/>
    <mergeCell ref="A9:E9"/>
    <mergeCell ref="A56:D56"/>
    <mergeCell ref="E56:G56"/>
    <mergeCell ref="H55:K55"/>
    <mergeCell ref="H56:K56"/>
    <mergeCell ref="A55:D55"/>
    <mergeCell ref="E55:G55"/>
  </mergeCells>
  <printOptions horizontalCentered="1"/>
  <pageMargins left="0.5905511811023623" right="0.5905511811023623" top="0" bottom="0.1968503937007874" header="0.5118110236220472" footer="0.5118110236220472"/>
  <pageSetup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view="pageBreakPreview" zoomScale="85" zoomScaleSheetLayoutView="85" zoomScalePageLayoutView="0" workbookViewId="0" topLeftCell="A1">
      <selection activeCell="G30" sqref="G30"/>
    </sheetView>
  </sheetViews>
  <sheetFormatPr defaultColWidth="9.140625" defaultRowHeight="12.75"/>
  <cols>
    <col min="5" max="5" width="18.140625" style="0" customWidth="1"/>
    <col min="6" max="6" width="19.8515625" style="0" customWidth="1"/>
    <col min="7" max="7" width="19.7109375" style="0" customWidth="1"/>
    <col min="8" max="8" width="16.7109375" style="0" customWidth="1"/>
    <col min="9" max="9" width="17.7109375" style="0" customWidth="1"/>
    <col min="10" max="10" width="18.421875" style="0" customWidth="1"/>
  </cols>
  <sheetData>
    <row r="1" spans="2:9" ht="15.75">
      <c r="B1" s="173" t="s">
        <v>252</v>
      </c>
      <c r="C1" s="173"/>
      <c r="D1" s="173"/>
      <c r="E1" s="173"/>
      <c r="F1" s="173"/>
      <c r="G1" s="173"/>
      <c r="H1" s="173"/>
      <c r="I1" s="173"/>
    </row>
    <row r="2" spans="2:6" ht="12.75">
      <c r="B2" s="176" t="s">
        <v>21</v>
      </c>
      <c r="C2" s="176"/>
      <c r="D2" s="176"/>
      <c r="E2" s="176"/>
      <c r="F2" s="176"/>
    </row>
    <row r="3" spans="2:8" ht="12.75">
      <c r="B3" s="180" t="s">
        <v>22</v>
      </c>
      <c r="C3" s="180"/>
      <c r="D3" s="180"/>
      <c r="E3" s="180"/>
      <c r="F3" s="180"/>
      <c r="G3" s="12"/>
      <c r="H3" s="12"/>
    </row>
    <row r="4" spans="2:8" ht="12.75">
      <c r="B4" s="180" t="s">
        <v>231</v>
      </c>
      <c r="C4" s="180"/>
      <c r="D4" s="180"/>
      <c r="E4" s="180"/>
      <c r="F4" s="180"/>
      <c r="G4" s="180"/>
      <c r="H4" s="180"/>
    </row>
    <row r="5" spans="2:8" ht="12.75">
      <c r="B5" s="180" t="s">
        <v>88</v>
      </c>
      <c r="C5" s="180"/>
      <c r="D5" s="180"/>
      <c r="E5" s="180"/>
      <c r="F5" s="180"/>
      <c r="G5" s="12"/>
      <c r="H5" s="12"/>
    </row>
    <row r="6" spans="2:8" ht="12.75">
      <c r="B6" s="180" t="s">
        <v>25</v>
      </c>
      <c r="C6" s="180"/>
      <c r="D6" s="180"/>
      <c r="E6" s="180"/>
      <c r="F6" s="180"/>
      <c r="G6" s="12"/>
      <c r="H6" s="12"/>
    </row>
    <row r="7" spans="5:10" ht="12.75">
      <c r="E7" s="8"/>
      <c r="F7" s="8"/>
      <c r="G7" s="8"/>
      <c r="H7" s="8"/>
      <c r="I7" s="8"/>
      <c r="J7" s="8"/>
    </row>
    <row r="8" spans="1:10" ht="12.75">
      <c r="A8" s="260" t="s">
        <v>146</v>
      </c>
      <c r="B8" s="261"/>
      <c r="C8" s="261"/>
      <c r="D8" s="262"/>
      <c r="E8" s="119">
        <v>2016</v>
      </c>
      <c r="F8" s="119">
        <v>2017</v>
      </c>
      <c r="G8" s="119">
        <f>+F8+1</f>
        <v>2018</v>
      </c>
      <c r="H8" s="119">
        <f>+G8+1</f>
        <v>2019</v>
      </c>
      <c r="I8" s="17">
        <f>+H8+1</f>
        <v>2020</v>
      </c>
      <c r="J8" s="69">
        <f>+I8+1</f>
        <v>2021</v>
      </c>
    </row>
    <row r="9" spans="1:10" ht="12.75">
      <c r="A9" s="263"/>
      <c r="B9" s="264"/>
      <c r="C9" s="264"/>
      <c r="D9" s="265"/>
      <c r="E9" s="32" t="s">
        <v>240</v>
      </c>
      <c r="F9" s="32" t="s">
        <v>241</v>
      </c>
      <c r="G9" s="32" t="s">
        <v>90</v>
      </c>
      <c r="H9" s="32" t="s">
        <v>91</v>
      </c>
      <c r="I9" s="32" t="s">
        <v>92</v>
      </c>
      <c r="J9" s="32" t="s">
        <v>93</v>
      </c>
    </row>
    <row r="10" spans="1:10" ht="12.75">
      <c r="A10" s="266" t="s">
        <v>95</v>
      </c>
      <c r="B10" s="267"/>
      <c r="C10" s="267"/>
      <c r="D10" s="267"/>
      <c r="E10" s="33">
        <v>14699798.39</v>
      </c>
      <c r="F10" s="33">
        <v>14790774.28</v>
      </c>
      <c r="G10" s="34">
        <f>F10-(F10*0.1)</f>
        <v>13311696.852</v>
      </c>
      <c r="H10" s="33">
        <f>'[1]Montante da Dívida'!I9</f>
        <v>648016.2030487501</v>
      </c>
      <c r="I10" s="33">
        <f>'[1]Montante da Dívida'!J9</f>
        <v>599414.9878200938</v>
      </c>
      <c r="J10" s="33">
        <f>'[1]Montante da Dívida'!K9</f>
        <v>554458.8637335867</v>
      </c>
    </row>
    <row r="11" spans="1:10" ht="12.75">
      <c r="A11" s="256" t="s">
        <v>98</v>
      </c>
      <c r="B11" s="257"/>
      <c r="C11" s="257"/>
      <c r="D11" s="257"/>
      <c r="E11" s="34">
        <f aca="true" t="shared" si="0" ref="E11:J11">SUM(E12+E13-E14)</f>
        <v>974236.2</v>
      </c>
      <c r="F11" s="34">
        <f t="shared" si="0"/>
        <v>103351.46999999997</v>
      </c>
      <c r="G11" s="34">
        <f>SUM(G12+G13-G14)</f>
        <v>93016.32300000009</v>
      </c>
      <c r="H11" s="34">
        <f t="shared" si="0"/>
        <v>83714.69070000004</v>
      </c>
      <c r="I11" s="34">
        <f t="shared" si="0"/>
        <v>75343.22163000004</v>
      </c>
      <c r="J11" s="34">
        <f t="shared" si="0"/>
        <v>67808.89946700004</v>
      </c>
    </row>
    <row r="12" spans="1:10" ht="12.75">
      <c r="A12" s="256" t="s">
        <v>99</v>
      </c>
      <c r="B12" s="257"/>
      <c r="C12" s="257"/>
      <c r="D12" s="257"/>
      <c r="E12" s="34">
        <v>1433563.71</v>
      </c>
      <c r="F12" s="34">
        <v>867526.85</v>
      </c>
      <c r="G12" s="34">
        <f>F12-(F12*0.1)</f>
        <v>780774.165</v>
      </c>
      <c r="H12" s="34">
        <f>G12-(G12*0.1)</f>
        <v>702696.7485</v>
      </c>
      <c r="I12" s="34">
        <f>H12-(H12*0.1)</f>
        <v>632427.07365</v>
      </c>
      <c r="J12" s="34">
        <f>I12-(I12*0.1)</f>
        <v>569184.366285</v>
      </c>
    </row>
    <row r="13" spans="1:10" ht="12.75">
      <c r="A13" s="256" t="s">
        <v>100</v>
      </c>
      <c r="B13" s="257"/>
      <c r="C13" s="257"/>
      <c r="D13" s="257"/>
      <c r="E13" s="41">
        <v>0</v>
      </c>
      <c r="F13" s="41">
        <v>0</v>
      </c>
      <c r="G13" s="34">
        <f>F13-(F13*0.1)</f>
        <v>0</v>
      </c>
      <c r="H13" s="41">
        <v>0</v>
      </c>
      <c r="I13" s="41">
        <v>0</v>
      </c>
      <c r="J13" s="41">
        <v>0</v>
      </c>
    </row>
    <row r="14" spans="1:10" ht="12.75">
      <c r="A14" s="256" t="s">
        <v>207</v>
      </c>
      <c r="B14" s="257"/>
      <c r="C14" s="257"/>
      <c r="D14" s="257"/>
      <c r="E14" s="34">
        <v>459327.51</v>
      </c>
      <c r="F14" s="34">
        <v>764175.38</v>
      </c>
      <c r="G14" s="34">
        <f>F14-(F14*0.1)</f>
        <v>687757.842</v>
      </c>
      <c r="H14" s="34">
        <f>G14-(G14*0.1)</f>
        <v>618982.0578</v>
      </c>
      <c r="I14" s="34">
        <f>H14-(H14*0.1)</f>
        <v>557083.85202</v>
      </c>
      <c r="J14" s="34">
        <f>I14-(I14*0.1)</f>
        <v>501375.46681799996</v>
      </c>
    </row>
    <row r="15" spans="1:10" ht="12.75">
      <c r="A15" s="256" t="s">
        <v>136</v>
      </c>
      <c r="B15" s="257"/>
      <c r="C15" s="257"/>
      <c r="D15" s="257"/>
      <c r="E15" s="34">
        <f aca="true" t="shared" si="1" ref="E15:J15">E10-E11</f>
        <v>13725562.190000001</v>
      </c>
      <c r="F15" s="34">
        <f t="shared" si="1"/>
        <v>14687422.809999999</v>
      </c>
      <c r="G15" s="34">
        <f t="shared" si="1"/>
        <v>13218680.529</v>
      </c>
      <c r="H15" s="34">
        <f t="shared" si="1"/>
        <v>564301.51234875</v>
      </c>
      <c r="I15" s="34">
        <f t="shared" si="1"/>
        <v>524071.7661900937</v>
      </c>
      <c r="J15" s="34">
        <f t="shared" si="1"/>
        <v>486649.9642665867</v>
      </c>
    </row>
    <row r="16" spans="1:10" ht="12.75">
      <c r="A16" s="256" t="s">
        <v>233</v>
      </c>
      <c r="B16" s="257"/>
      <c r="C16" s="257"/>
      <c r="D16" s="257"/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ht="12.75">
      <c r="A17" s="256" t="s">
        <v>137</v>
      </c>
      <c r="B17" s="257"/>
      <c r="C17" s="257"/>
      <c r="D17" s="257"/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ht="12.75">
      <c r="A18" s="258" t="s">
        <v>138</v>
      </c>
      <c r="B18" s="259"/>
      <c r="C18" s="259"/>
      <c r="D18" s="259"/>
      <c r="E18" s="36">
        <f aca="true" t="shared" si="2" ref="E18:J18">E15+E16-E17</f>
        <v>13725562.190000001</v>
      </c>
      <c r="F18" s="36">
        <f t="shared" si="2"/>
        <v>14687422.809999999</v>
      </c>
      <c r="G18" s="36">
        <f t="shared" si="2"/>
        <v>13218680.529</v>
      </c>
      <c r="H18" s="36">
        <f t="shared" si="2"/>
        <v>564301.51234875</v>
      </c>
      <c r="I18" s="36">
        <f t="shared" si="2"/>
        <v>524071.7661900937</v>
      </c>
      <c r="J18" s="36">
        <f t="shared" si="2"/>
        <v>486649.9642665867</v>
      </c>
    </row>
    <row r="19" ht="12.75">
      <c r="E19" s="1"/>
    </row>
    <row r="20" spans="1:10" ht="12.75">
      <c r="A20" s="177" t="s">
        <v>118</v>
      </c>
      <c r="B20" s="177"/>
      <c r="C20" s="177"/>
      <c r="D20" s="177"/>
      <c r="E20" s="2" t="s">
        <v>139</v>
      </c>
      <c r="F20" s="2" t="s">
        <v>140</v>
      </c>
      <c r="G20" s="2" t="s">
        <v>141</v>
      </c>
      <c r="H20" s="2" t="s">
        <v>142</v>
      </c>
      <c r="I20" s="2" t="s">
        <v>143</v>
      </c>
      <c r="J20" s="2" t="s">
        <v>144</v>
      </c>
    </row>
    <row r="21" spans="1:10" ht="12.75">
      <c r="A21" s="177"/>
      <c r="B21" s="177"/>
      <c r="C21" s="177"/>
      <c r="D21" s="177"/>
      <c r="E21" s="96">
        <f>+E18-(1159568.46)</f>
        <v>12565993.73</v>
      </c>
      <c r="F21" s="37">
        <f>F18-E18</f>
        <v>961860.6199999973</v>
      </c>
      <c r="G21" s="37">
        <f>+G18-F18</f>
        <v>-1468742.2809999995</v>
      </c>
      <c r="H21" s="37">
        <f>+H18-G18</f>
        <v>-12654379.016651249</v>
      </c>
      <c r="I21" s="37">
        <f>+I18-H18</f>
        <v>-40229.746158656315</v>
      </c>
      <c r="J21" s="96">
        <f>+J18-I18</f>
        <v>-37421.80192350701</v>
      </c>
    </row>
    <row r="23" ht="12.75">
      <c r="A23" s="12" t="s">
        <v>242</v>
      </c>
    </row>
    <row r="24" ht="12.75">
      <c r="A24" s="12" t="s">
        <v>243</v>
      </c>
    </row>
    <row r="25" spans="1:9" ht="12.75">
      <c r="A25" s="12"/>
      <c r="B25" s="6"/>
      <c r="C25" s="6"/>
      <c r="D25" s="6"/>
      <c r="E25" s="6"/>
      <c r="F25" s="6"/>
      <c r="G25" s="6"/>
      <c r="H25" s="6"/>
      <c r="I25" s="90"/>
    </row>
    <row r="26" spans="1:9" ht="12.75">
      <c r="A26" s="180" t="s">
        <v>249</v>
      </c>
      <c r="B26" s="176"/>
      <c r="C26" s="176"/>
      <c r="D26" s="176"/>
      <c r="E26" s="176"/>
      <c r="F26" s="176"/>
      <c r="G26" s="176"/>
      <c r="H26" s="176"/>
      <c r="I26" s="176"/>
    </row>
    <row r="29" spans="1:8" ht="12.75">
      <c r="A29" s="180" t="s">
        <v>263</v>
      </c>
      <c r="B29" s="176"/>
      <c r="C29" s="176"/>
      <c r="D29" s="176"/>
      <c r="E29" s="176"/>
      <c r="F29" s="176"/>
      <c r="G29" s="7"/>
      <c r="H29" t="s">
        <v>226</v>
      </c>
    </row>
    <row r="33" spans="1:11" ht="12.75">
      <c r="A33" s="174" t="s">
        <v>254</v>
      </c>
      <c r="B33" s="174"/>
      <c r="C33" s="174"/>
      <c r="D33" s="174"/>
      <c r="E33" s="174"/>
      <c r="F33" s="174"/>
      <c r="G33" s="174"/>
      <c r="H33" s="174" t="s">
        <v>251</v>
      </c>
      <c r="I33" s="174"/>
      <c r="J33" s="174"/>
      <c r="K33" s="174"/>
    </row>
    <row r="34" spans="1:11" ht="12.75">
      <c r="A34" s="183" t="s">
        <v>26</v>
      </c>
      <c r="B34" s="183"/>
      <c r="C34" s="183"/>
      <c r="D34" s="183"/>
      <c r="E34" s="175"/>
      <c r="F34" s="175"/>
      <c r="G34" s="175"/>
      <c r="H34" s="175" t="s">
        <v>247</v>
      </c>
      <c r="I34" s="175"/>
      <c r="J34" s="175"/>
      <c r="K34" s="175"/>
    </row>
  </sheetData>
  <sheetProtection/>
  <mergeCells count="25">
    <mergeCell ref="A8:D9"/>
    <mergeCell ref="A17:D17"/>
    <mergeCell ref="B5:F5"/>
    <mergeCell ref="B6:F6"/>
    <mergeCell ref="A10:D10"/>
    <mergeCell ref="A11:D11"/>
    <mergeCell ref="A14:D14"/>
    <mergeCell ref="A15:D15"/>
    <mergeCell ref="B2:F2"/>
    <mergeCell ref="B3:F3"/>
    <mergeCell ref="B4:H4"/>
    <mergeCell ref="B1:I1"/>
    <mergeCell ref="H33:K33"/>
    <mergeCell ref="H34:K34"/>
    <mergeCell ref="A12:D12"/>
    <mergeCell ref="A13:D13"/>
    <mergeCell ref="A18:D18"/>
    <mergeCell ref="A20:D21"/>
    <mergeCell ref="A29:F29"/>
    <mergeCell ref="A16:D16"/>
    <mergeCell ref="A33:D33"/>
    <mergeCell ref="E33:G33"/>
    <mergeCell ref="A34:D34"/>
    <mergeCell ref="E34:G34"/>
    <mergeCell ref="A26:I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ignoredErrors>
    <ignoredError sqref="G11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showGridLines="0" view="pageBreakPreview" zoomScaleSheetLayoutView="100" zoomScalePageLayoutView="0" workbookViewId="0" topLeftCell="B13">
      <selection activeCell="H27" sqref="H27:K27"/>
    </sheetView>
  </sheetViews>
  <sheetFormatPr defaultColWidth="9.140625" defaultRowHeight="12.75"/>
  <cols>
    <col min="1" max="1" width="0.71875" style="0" customWidth="1"/>
    <col min="4" max="4" width="7.28125" style="0" customWidth="1"/>
    <col min="5" max="5" width="6.57421875" style="0" customWidth="1"/>
    <col min="6" max="6" width="17.140625" style="0" customWidth="1"/>
    <col min="7" max="7" width="16.8515625" style="0" customWidth="1"/>
    <col min="8" max="8" width="16.140625" style="0" customWidth="1"/>
    <col min="9" max="9" width="16.8515625" style="0" customWidth="1"/>
    <col min="10" max="11" width="16.140625" style="0" customWidth="1"/>
  </cols>
  <sheetData>
    <row r="1" spans="3:10" ht="15.75">
      <c r="C1" s="173" t="s">
        <v>252</v>
      </c>
      <c r="D1" s="173"/>
      <c r="E1" s="173"/>
      <c r="F1" s="173"/>
      <c r="G1" s="173"/>
      <c r="H1" s="173"/>
      <c r="I1" s="173"/>
      <c r="J1" s="173"/>
    </row>
    <row r="2" spans="3:7" ht="12.75">
      <c r="C2" s="176" t="s">
        <v>21</v>
      </c>
      <c r="D2" s="176"/>
      <c r="E2" s="176"/>
      <c r="F2" s="176"/>
      <c r="G2" s="176"/>
    </row>
    <row r="3" spans="3:6" ht="12.75">
      <c r="C3" s="180" t="s">
        <v>22</v>
      </c>
      <c r="D3" s="180"/>
      <c r="E3" s="180"/>
      <c r="F3" s="180"/>
    </row>
    <row r="4" spans="3:8" ht="12.75">
      <c r="C4" s="176" t="s">
        <v>231</v>
      </c>
      <c r="D4" s="176"/>
      <c r="E4" s="176"/>
      <c r="F4" s="176"/>
      <c r="G4" s="176"/>
      <c r="H4" s="176"/>
    </row>
    <row r="5" spans="3:6" ht="12.75">
      <c r="C5" s="176" t="s">
        <v>94</v>
      </c>
      <c r="D5" s="176"/>
      <c r="E5" s="176"/>
      <c r="F5" s="176"/>
    </row>
    <row r="6" spans="3:6" ht="12.75">
      <c r="C6" s="176" t="s">
        <v>25</v>
      </c>
      <c r="D6" s="176"/>
      <c r="E6" s="176"/>
      <c r="F6" s="176"/>
    </row>
    <row r="7" ht="12.75">
      <c r="K7" s="24" t="s">
        <v>127</v>
      </c>
    </row>
    <row r="8" spans="2:11" s="70" customFormat="1" ht="18" customHeight="1">
      <c r="B8" s="268" t="s">
        <v>0</v>
      </c>
      <c r="C8" s="271"/>
      <c r="D8" s="271"/>
      <c r="E8" s="272"/>
      <c r="F8" s="68">
        <v>2016</v>
      </c>
      <c r="G8" s="68">
        <v>2017</v>
      </c>
      <c r="H8" s="68">
        <v>2018</v>
      </c>
      <c r="I8" s="68">
        <f>+H8+1</f>
        <v>2019</v>
      </c>
      <c r="J8" s="68">
        <f>+I8+1</f>
        <v>2020</v>
      </c>
      <c r="K8" s="68">
        <f>+J8+1</f>
        <v>2021</v>
      </c>
    </row>
    <row r="9" spans="2:11" ht="12.75">
      <c r="B9" s="178" t="s">
        <v>95</v>
      </c>
      <c r="C9" s="179"/>
      <c r="D9" s="179"/>
      <c r="E9" s="212"/>
      <c r="F9" s="4">
        <f>F10+F11</f>
        <v>14699798.39</v>
      </c>
      <c r="G9" s="4">
        <f>G10+G11</f>
        <v>14790774.28</v>
      </c>
      <c r="H9" s="4">
        <f>H10+H11</f>
        <v>13311696.852</v>
      </c>
      <c r="I9" s="4">
        <f>'Resultado Nominal'!H10</f>
        <v>648016.2030487501</v>
      </c>
      <c r="J9" s="4">
        <f>SUM(J10:J11)</f>
        <v>11389820.6189925</v>
      </c>
      <c r="K9" s="4">
        <f>SUM(K10:K11)</f>
        <v>10535584.072568063</v>
      </c>
    </row>
    <row r="10" spans="2:11" ht="12.75">
      <c r="B10" s="169" t="s">
        <v>96</v>
      </c>
      <c r="C10" s="170"/>
      <c r="D10" s="170"/>
      <c r="E10" s="213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2:11" ht="12.75">
      <c r="B11" s="169" t="s">
        <v>97</v>
      </c>
      <c r="C11" s="170"/>
      <c r="D11" s="170"/>
      <c r="E11" s="213"/>
      <c r="F11" s="5">
        <f>'Resultado Nominal'!E10</f>
        <v>14699798.39</v>
      </c>
      <c r="G11" s="5">
        <f>'Resultado Nominal'!F10</f>
        <v>14790774.28</v>
      </c>
      <c r="H11" s="5">
        <f>'Resultado Nominal'!G10</f>
        <v>13311696.852</v>
      </c>
      <c r="I11" s="5">
        <f>H11-(H11*0.075)</f>
        <v>12313319.5881</v>
      </c>
      <c r="J11" s="5">
        <f>I11-(I11*0.075)</f>
        <v>11389820.6189925</v>
      </c>
      <c r="K11" s="5">
        <f>J11-(J11*0.075)</f>
        <v>10535584.072568063</v>
      </c>
    </row>
    <row r="12" spans="2:11" ht="12.75">
      <c r="B12" s="169" t="s">
        <v>98</v>
      </c>
      <c r="C12" s="170"/>
      <c r="D12" s="170"/>
      <c r="E12" s="213"/>
      <c r="F12" s="5">
        <f>F13+F14-F15</f>
        <v>974236.2</v>
      </c>
      <c r="G12" s="5">
        <f>G13+G14-G15</f>
        <v>-577676.14</v>
      </c>
      <c r="H12" s="5">
        <f>H13+H14-H15</f>
        <v>93016.32300000009</v>
      </c>
      <c r="I12" s="5">
        <f>'Resultado Nominal'!H11</f>
        <v>83714.69070000004</v>
      </c>
      <c r="J12" s="5">
        <f>J13+J14-J15</f>
        <v>75343.22163000004</v>
      </c>
      <c r="K12" s="5">
        <f>K13+K14-K15</f>
        <v>67808.89946700004</v>
      </c>
    </row>
    <row r="13" spans="2:11" ht="12.75">
      <c r="B13" s="169" t="s">
        <v>99</v>
      </c>
      <c r="C13" s="170"/>
      <c r="D13" s="170"/>
      <c r="E13" s="213"/>
      <c r="F13" s="5">
        <f>'Resultado Nominal'!E12</f>
        <v>1433563.71</v>
      </c>
      <c r="G13" s="5">
        <f>'Resultado Nominal'!F12</f>
        <v>867526.85</v>
      </c>
      <c r="H13" s="5">
        <f>'Resultado Nominal'!G12</f>
        <v>780774.165</v>
      </c>
      <c r="I13" s="5">
        <f>'Resultado Nominal'!H12</f>
        <v>702696.7485</v>
      </c>
      <c r="J13" s="5">
        <f>'Resultado Nominal'!I12</f>
        <v>632427.07365</v>
      </c>
      <c r="K13" s="5">
        <f>'Resultado Nominal'!J12</f>
        <v>569184.366285</v>
      </c>
    </row>
    <row r="14" spans="2:11" ht="12.75">
      <c r="B14" s="169" t="s">
        <v>100</v>
      </c>
      <c r="C14" s="170"/>
      <c r="D14" s="170"/>
      <c r="E14" s="213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2:11" ht="12.75">
      <c r="B15" s="273" t="s">
        <v>101</v>
      </c>
      <c r="C15" s="274"/>
      <c r="D15" s="274"/>
      <c r="E15" s="275"/>
      <c r="F15" s="16">
        <v>459327.51</v>
      </c>
      <c r="G15" s="118">
        <v>1445202.99</v>
      </c>
      <c r="H15" s="16">
        <f>'Resultado Nominal'!G14</f>
        <v>687757.842</v>
      </c>
      <c r="I15" s="16">
        <f>'Resultado Nominal'!H14</f>
        <v>618982.0578</v>
      </c>
      <c r="J15" s="16">
        <f>'Resultado Nominal'!I14</f>
        <v>557083.85202</v>
      </c>
      <c r="K15" s="16">
        <f>'Resultado Nominal'!J14</f>
        <v>501375.46681799996</v>
      </c>
    </row>
    <row r="16" spans="2:11" ht="12.75">
      <c r="B16" s="170"/>
      <c r="C16" s="170"/>
      <c r="D16" s="170"/>
      <c r="E16" s="170"/>
      <c r="F16" s="15"/>
      <c r="G16" s="15"/>
      <c r="H16" s="15"/>
      <c r="I16" s="15"/>
      <c r="J16" s="15"/>
      <c r="K16" s="15"/>
    </row>
    <row r="17" spans="2:11" s="70" customFormat="1" ht="18" customHeight="1">
      <c r="B17" s="268" t="s">
        <v>102</v>
      </c>
      <c r="C17" s="269"/>
      <c r="D17" s="269"/>
      <c r="E17" s="270"/>
      <c r="F17" s="46">
        <f aca="true" t="shared" si="0" ref="F17:K17">F9-F12</f>
        <v>13725562.190000001</v>
      </c>
      <c r="G17" s="46">
        <f>G9-G12</f>
        <v>15368450.42</v>
      </c>
      <c r="H17" s="46">
        <f t="shared" si="0"/>
        <v>13218680.529</v>
      </c>
      <c r="I17" s="46">
        <f t="shared" si="0"/>
        <v>564301.51234875</v>
      </c>
      <c r="J17" s="46">
        <f t="shared" si="0"/>
        <v>11314477.3973625</v>
      </c>
      <c r="K17" s="46">
        <f t="shared" si="0"/>
        <v>10467775.173101062</v>
      </c>
    </row>
    <row r="19" ht="12.75">
      <c r="B19" s="12"/>
    </row>
    <row r="23" spans="1:8" ht="12.75">
      <c r="A23" s="180" t="s">
        <v>261</v>
      </c>
      <c r="B23" s="176"/>
      <c r="C23" s="176"/>
      <c r="D23" s="176"/>
      <c r="E23" s="176"/>
      <c r="F23" s="176"/>
      <c r="G23" s="7"/>
      <c r="H23" t="s">
        <v>226</v>
      </c>
    </row>
    <row r="26" ht="30">
      <c r="C26" s="42"/>
    </row>
    <row r="27" spans="2:11" ht="12.75">
      <c r="B27" s="59" t="s">
        <v>254</v>
      </c>
      <c r="C27" s="59"/>
      <c r="D27" s="59"/>
      <c r="E27" s="59"/>
      <c r="F27" s="59"/>
      <c r="G27" s="59"/>
      <c r="H27" s="174" t="s">
        <v>251</v>
      </c>
      <c r="I27" s="174"/>
      <c r="J27" s="174"/>
      <c r="K27" s="174"/>
    </row>
    <row r="28" spans="2:11" ht="12.75">
      <c r="B28" s="183" t="s">
        <v>26</v>
      </c>
      <c r="C28" s="183"/>
      <c r="D28" s="183"/>
      <c r="E28" s="183"/>
      <c r="F28" s="175"/>
      <c r="G28" s="175"/>
      <c r="H28" s="175" t="s">
        <v>247</v>
      </c>
      <c r="I28" s="175"/>
      <c r="J28" s="175"/>
      <c r="K28" s="175"/>
    </row>
  </sheetData>
  <sheetProtection/>
  <mergeCells count="21">
    <mergeCell ref="B15:E15"/>
    <mergeCell ref="B11:E11"/>
    <mergeCell ref="B9:E9"/>
    <mergeCell ref="B10:E10"/>
    <mergeCell ref="H28:K28"/>
    <mergeCell ref="B28:E28"/>
    <mergeCell ref="F28:G28"/>
    <mergeCell ref="H27:K27"/>
    <mergeCell ref="B16:E16"/>
    <mergeCell ref="B12:E12"/>
    <mergeCell ref="A23:F23"/>
    <mergeCell ref="C5:F5"/>
    <mergeCell ref="B17:E17"/>
    <mergeCell ref="C1:J1"/>
    <mergeCell ref="C2:G2"/>
    <mergeCell ref="B8:E8"/>
    <mergeCell ref="B13:E13"/>
    <mergeCell ref="C3:F3"/>
    <mergeCell ref="B14:E14"/>
    <mergeCell ref="C4:H4"/>
    <mergeCell ref="C6:F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1"/>
  <sheetViews>
    <sheetView showGridLines="0" view="pageBreakPreview" zoomScaleSheetLayoutView="100" zoomScalePageLayoutView="0" workbookViewId="0" topLeftCell="A31">
      <selection activeCell="E46" sqref="E46"/>
    </sheetView>
  </sheetViews>
  <sheetFormatPr defaultColWidth="9.140625" defaultRowHeight="12.75"/>
  <cols>
    <col min="1" max="1" width="8.00390625" style="0" customWidth="1"/>
    <col min="2" max="3" width="6.7109375" style="0" customWidth="1"/>
    <col min="4" max="4" width="12.421875" style="0" customWidth="1"/>
    <col min="5" max="5" width="6.7109375" style="0" customWidth="1"/>
    <col min="6" max="6" width="7.8515625" style="0" customWidth="1"/>
    <col min="7" max="7" width="6.7109375" style="0" customWidth="1"/>
    <col min="8" max="8" width="7.421875" style="0" customWidth="1"/>
    <col min="9" max="9" width="7.7109375" style="0" customWidth="1"/>
    <col min="10" max="10" width="6.7109375" style="0" customWidth="1"/>
    <col min="11" max="11" width="7.57421875" style="0" customWidth="1"/>
    <col min="13" max="13" width="7.57421875" style="0" customWidth="1"/>
    <col min="14" max="14" width="9.57421875" style="0" customWidth="1"/>
    <col min="15" max="15" width="9.00390625" style="0" customWidth="1"/>
    <col min="16" max="16" width="8.00390625" style="0" customWidth="1"/>
    <col min="17" max="17" width="6.7109375" style="0" customWidth="1"/>
    <col min="18" max="18" width="7.28125" style="0" customWidth="1"/>
    <col min="19" max="19" width="7.7109375" style="0" customWidth="1"/>
  </cols>
  <sheetData>
    <row r="1" spans="2:9" ht="15.75">
      <c r="B1" s="173" t="s">
        <v>245</v>
      </c>
      <c r="C1" s="173"/>
      <c r="D1" s="173"/>
      <c r="E1" s="173"/>
      <c r="F1" s="173"/>
      <c r="G1" s="173"/>
      <c r="H1" s="173"/>
      <c r="I1" s="173"/>
    </row>
    <row r="2" spans="2:13" ht="12.75">
      <c r="B2" s="176" t="s">
        <v>21</v>
      </c>
      <c r="C2" s="176"/>
      <c r="D2" s="176"/>
      <c r="E2" s="176"/>
      <c r="F2" s="176"/>
      <c r="M2" s="7"/>
    </row>
    <row r="3" spans="2:13" ht="12.75">
      <c r="B3" s="176" t="s">
        <v>22</v>
      </c>
      <c r="C3" s="176"/>
      <c r="D3" s="176"/>
      <c r="E3" s="176"/>
      <c r="F3" s="176"/>
      <c r="G3" s="176"/>
      <c r="H3" s="176"/>
      <c r="I3" s="6"/>
      <c r="M3" s="7"/>
    </row>
    <row r="4" spans="2:13" ht="12.75">
      <c r="B4" s="176" t="s">
        <v>147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6"/>
    </row>
    <row r="5" spans="2:13" ht="12.75">
      <c r="B5" s="176" t="s">
        <v>103</v>
      </c>
      <c r="C5" s="176"/>
      <c r="D5" s="176"/>
      <c r="E5" s="176"/>
      <c r="F5" s="176"/>
      <c r="G5" s="176"/>
      <c r="H5" s="176"/>
      <c r="I5" s="6"/>
      <c r="M5" s="7"/>
    </row>
    <row r="6" spans="2:13" ht="7.5" customHeight="1">
      <c r="B6" s="176" t="s">
        <v>104</v>
      </c>
      <c r="C6" s="176"/>
      <c r="D6" s="176"/>
      <c r="E6" s="176"/>
      <c r="F6" s="176"/>
      <c r="G6" s="176"/>
      <c r="H6" s="176"/>
      <c r="I6" s="6"/>
      <c r="M6" s="7"/>
    </row>
    <row r="7" spans="8:19" ht="17.25" customHeight="1">
      <c r="H7" s="42"/>
      <c r="S7" s="24" t="s">
        <v>127</v>
      </c>
    </row>
    <row r="8" spans="1:19" ht="12.75">
      <c r="A8" s="306" t="s">
        <v>0</v>
      </c>
      <c r="B8" s="307"/>
      <c r="C8" s="307"/>
      <c r="D8" s="307"/>
      <c r="E8" s="184">
        <v>2019</v>
      </c>
      <c r="F8" s="211"/>
      <c r="G8" s="217"/>
      <c r="H8" s="217"/>
      <c r="I8" s="185"/>
      <c r="J8" s="184">
        <v>2020</v>
      </c>
      <c r="K8" s="211"/>
      <c r="L8" s="211"/>
      <c r="M8" s="211"/>
      <c r="N8" s="185"/>
      <c r="O8" s="184">
        <f>+J8+1</f>
        <v>2021</v>
      </c>
      <c r="P8" s="211"/>
      <c r="Q8" s="211"/>
      <c r="R8" s="211"/>
      <c r="S8" s="185"/>
    </row>
    <row r="9" spans="1:19" ht="12.75">
      <c r="A9" s="308"/>
      <c r="B9" s="309"/>
      <c r="C9" s="309"/>
      <c r="D9" s="309"/>
      <c r="E9" s="216" t="s">
        <v>105</v>
      </c>
      <c r="F9" s="218"/>
      <c r="G9" s="216" t="s">
        <v>108</v>
      </c>
      <c r="H9" s="218"/>
      <c r="I9" s="18" t="s">
        <v>110</v>
      </c>
      <c r="J9" s="216" t="s">
        <v>105</v>
      </c>
      <c r="K9" s="218"/>
      <c r="L9" s="216" t="s">
        <v>108</v>
      </c>
      <c r="M9" s="218"/>
      <c r="N9" s="19" t="s">
        <v>110</v>
      </c>
      <c r="O9" s="216" t="s">
        <v>105</v>
      </c>
      <c r="P9" s="218"/>
      <c r="Q9" s="216" t="s">
        <v>108</v>
      </c>
      <c r="R9" s="218"/>
      <c r="S9" s="18" t="s">
        <v>110</v>
      </c>
    </row>
    <row r="10" spans="1:19" ht="12.75">
      <c r="A10" s="308"/>
      <c r="B10" s="309"/>
      <c r="C10" s="309"/>
      <c r="D10" s="309"/>
      <c r="E10" s="295" t="s">
        <v>106</v>
      </c>
      <c r="F10" s="296"/>
      <c r="G10" s="295" t="s">
        <v>109</v>
      </c>
      <c r="H10" s="296"/>
      <c r="I10" s="18" t="s">
        <v>111</v>
      </c>
      <c r="J10" s="295" t="s">
        <v>106</v>
      </c>
      <c r="K10" s="296"/>
      <c r="L10" s="295" t="s">
        <v>109</v>
      </c>
      <c r="M10" s="296"/>
      <c r="N10" s="19" t="s">
        <v>111</v>
      </c>
      <c r="O10" s="295" t="s">
        <v>106</v>
      </c>
      <c r="P10" s="296"/>
      <c r="Q10" s="295" t="s">
        <v>109</v>
      </c>
      <c r="R10" s="296"/>
      <c r="S10" s="18" t="s">
        <v>111</v>
      </c>
    </row>
    <row r="11" spans="1:19" ht="12.75">
      <c r="A11" s="310"/>
      <c r="B11" s="311"/>
      <c r="C11" s="311"/>
      <c r="D11" s="311"/>
      <c r="E11" s="219" t="s">
        <v>107</v>
      </c>
      <c r="F11" s="221"/>
      <c r="G11" s="295"/>
      <c r="H11" s="296"/>
      <c r="I11" s="14" t="s">
        <v>112</v>
      </c>
      <c r="J11" s="219" t="s">
        <v>107</v>
      </c>
      <c r="K11" s="221"/>
      <c r="L11" s="17"/>
      <c r="M11" s="18"/>
      <c r="N11" s="13" t="s">
        <v>112</v>
      </c>
      <c r="O11" s="219" t="s">
        <v>107</v>
      </c>
      <c r="P11" s="221"/>
      <c r="Q11" s="17"/>
      <c r="R11" s="18"/>
      <c r="S11" s="14" t="s">
        <v>112</v>
      </c>
    </row>
    <row r="12" spans="1:19" ht="12.75">
      <c r="A12" s="20" t="s">
        <v>113</v>
      </c>
      <c r="B12" s="21"/>
      <c r="C12" s="21"/>
      <c r="D12" s="21"/>
      <c r="E12" s="314">
        <f>'Quadro de Receitas'!I25</f>
        <v>27477597.6</v>
      </c>
      <c r="F12" s="315"/>
      <c r="G12" s="288">
        <f>E12/1.0395</f>
        <v>26433475.324675325</v>
      </c>
      <c r="H12" s="289"/>
      <c r="I12" s="112">
        <f>(E12/K29)*100</f>
        <v>0.037080777306955276</v>
      </c>
      <c r="J12" s="288">
        <f>'Resultado Primário'!J30</f>
        <v>29401029.402000003</v>
      </c>
      <c r="K12" s="312"/>
      <c r="L12" s="300">
        <f>J12/1.04</f>
        <v>28270220.578846157</v>
      </c>
      <c r="M12" s="301"/>
      <c r="N12" s="112">
        <f>(J12/M29)*100</f>
        <v>0.03754201545297836</v>
      </c>
      <c r="O12" s="288">
        <f>'Resultado Primário'!K30</f>
        <v>31000000.00014</v>
      </c>
      <c r="P12" s="312"/>
      <c r="Q12" s="300">
        <f>O12/1.0365</f>
        <v>29908345.393285096</v>
      </c>
      <c r="R12" s="301"/>
      <c r="S12" s="112">
        <f>(O12/O29)*100</f>
        <v>0.037563008918354984</v>
      </c>
    </row>
    <row r="13" spans="1:19" ht="12.75">
      <c r="A13" s="22" t="s">
        <v>114</v>
      </c>
      <c r="B13" s="3"/>
      <c r="C13" s="3"/>
      <c r="D13" s="3"/>
      <c r="E13" s="297">
        <f>'Resultado Primário'!I30-'Resultado Primário'!I13-'Resultado Primário'!I22-'Resultado Primário'!I23-'Resultado Primário'!I24</f>
        <v>27362037.6</v>
      </c>
      <c r="F13" s="298"/>
      <c r="G13" s="290">
        <f aca="true" t="shared" si="0" ref="G13:G19">E13/1.0395</f>
        <v>26322306.49350649</v>
      </c>
      <c r="H13" s="291"/>
      <c r="I13" s="113">
        <f>(E13/K29)*100</f>
        <v>0.03692483009905266</v>
      </c>
      <c r="J13" s="290">
        <f>'Resultado Primário'!J30-'Resultado Primário'!J13-'Resultado Primário'!J22-'Resultado Primário'!J23-'Resultado Primário'!J24</f>
        <v>29277380.202000003</v>
      </c>
      <c r="K13" s="292"/>
      <c r="L13" s="293">
        <f aca="true" t="shared" si="1" ref="L13:L19">J13/1.04</f>
        <v>28151327.117307693</v>
      </c>
      <c r="M13" s="299"/>
      <c r="N13" s="114">
        <f>(J13/M29)*100</f>
        <v>0.037384128458149785</v>
      </c>
      <c r="O13" s="290">
        <f>'Resultado Primário'!K30-'Resultado Primário'!K13-'Resultado Primário'!K22-'Resultado Primário'!K23-'Resultado Primário'!K24</f>
        <v>30867695.35614</v>
      </c>
      <c r="P13" s="292"/>
      <c r="Q13" s="293">
        <f aca="true" t="shared" si="2" ref="Q13:Q19">O13/1.0365</f>
        <v>29780699.812966716</v>
      </c>
      <c r="R13" s="299"/>
      <c r="S13" s="114">
        <f>(Q13/O29)*100</f>
        <v>0.03608557073110546</v>
      </c>
    </row>
    <row r="14" spans="1:19" ht="12.75">
      <c r="A14" s="22" t="s">
        <v>115</v>
      </c>
      <c r="B14" s="3"/>
      <c r="C14" s="3"/>
      <c r="D14" s="3"/>
      <c r="E14" s="297">
        <f>'Resultado Primário'!I45</f>
        <v>27477597.6</v>
      </c>
      <c r="F14" s="298"/>
      <c r="G14" s="290">
        <f t="shared" si="0"/>
        <v>26433475.324675325</v>
      </c>
      <c r="H14" s="291"/>
      <c r="I14" s="114">
        <f>(E14/K29)*100</f>
        <v>0.037080777306955276</v>
      </c>
      <c r="J14" s="290">
        <f>'Resultado Primário'!J45</f>
        <v>29401029.402000003</v>
      </c>
      <c r="K14" s="292"/>
      <c r="L14" s="293">
        <f t="shared" si="1"/>
        <v>28270220.578846157</v>
      </c>
      <c r="M14" s="299"/>
      <c r="N14" s="114">
        <f>(J14/M29)*100</f>
        <v>0.03754201545297836</v>
      </c>
      <c r="O14" s="290">
        <f>'Resultado Primário'!K45</f>
        <v>31000000.000140004</v>
      </c>
      <c r="P14" s="292"/>
      <c r="Q14" s="293">
        <f t="shared" si="2"/>
        <v>29908345.3932851</v>
      </c>
      <c r="R14" s="299"/>
      <c r="S14" s="114">
        <f>(Q14/O29)*100</f>
        <v>0.03624024015277857</v>
      </c>
    </row>
    <row r="15" spans="1:19" ht="12.75">
      <c r="A15" s="22" t="s">
        <v>116</v>
      </c>
      <c r="B15" s="3"/>
      <c r="C15" s="3"/>
      <c r="D15" s="3"/>
      <c r="E15" s="297">
        <f>'Resultado Primário'!I45-'Resultado Primário'!I33-'Resultado Primário'!I40</f>
        <v>27076637.830000002</v>
      </c>
      <c r="F15" s="298"/>
      <c r="G15" s="290">
        <f t="shared" si="0"/>
        <v>26047751.640211638</v>
      </c>
      <c r="H15" s="291"/>
      <c r="I15" s="114">
        <f>(E15/K29)*100</f>
        <v>0.0365396856090254</v>
      </c>
      <c r="J15" s="290">
        <f>'Resultado Primário'!J45-'Resultado Primário'!J33-'Resultado Primário'!J40</f>
        <v>28972000.128100004</v>
      </c>
      <c r="K15" s="292"/>
      <c r="L15" s="293">
        <f t="shared" si="1"/>
        <v>27857692.43086539</v>
      </c>
      <c r="M15" s="299"/>
      <c r="N15" s="114">
        <f>(J15/M29)*100</f>
        <v>0.036994190293175</v>
      </c>
      <c r="O15" s="290">
        <f>'Resultado Primário'!K45-'Resultado Primário'!K33-'Resultado Primário'!K40</f>
        <v>30540938.677067004</v>
      </c>
      <c r="P15" s="292"/>
      <c r="Q15" s="293">
        <f t="shared" si="2"/>
        <v>29465449.76079788</v>
      </c>
      <c r="R15" s="299"/>
      <c r="S15" s="114">
        <f>(Q15/O29)*100</f>
        <v>0.03570357910139332</v>
      </c>
    </row>
    <row r="16" spans="1:19" ht="12.75">
      <c r="A16" s="22" t="s">
        <v>117</v>
      </c>
      <c r="B16" s="3"/>
      <c r="C16" s="3"/>
      <c r="D16" s="3"/>
      <c r="E16" s="290">
        <f>'Resultado Primário'!I47</f>
        <v>285399.7700000033</v>
      </c>
      <c r="F16" s="292"/>
      <c r="G16" s="290">
        <f t="shared" si="0"/>
        <v>274554.85329485644</v>
      </c>
      <c r="H16" s="291"/>
      <c r="I16" s="114">
        <f>(E16/K29)*100</f>
        <v>0.0003851444900272641</v>
      </c>
      <c r="J16" s="290">
        <f>'Resultado Primário'!J47</f>
        <v>305380.07389999926</v>
      </c>
      <c r="K16" s="292"/>
      <c r="L16" s="293">
        <f t="shared" si="1"/>
        <v>293634.68644230696</v>
      </c>
      <c r="M16" s="299"/>
      <c r="N16" s="114">
        <f>(J16/M29)*100</f>
        <v>0.0003899381649747804</v>
      </c>
      <c r="O16" s="290">
        <f>'Resultado Primário'!K47</f>
        <v>326756.67907299846</v>
      </c>
      <c r="P16" s="292"/>
      <c r="Q16" s="293">
        <f t="shared" si="2"/>
        <v>315250.05216883594</v>
      </c>
      <c r="R16" s="299"/>
      <c r="S16" s="114">
        <f>(Q16/O29)*100</f>
        <v>0.00038199162971214125</v>
      </c>
    </row>
    <row r="17" spans="1:19" ht="12.75">
      <c r="A17" s="22" t="s">
        <v>118</v>
      </c>
      <c r="B17" s="3"/>
      <c r="C17" s="3"/>
      <c r="D17" s="3"/>
      <c r="E17" s="290">
        <f>'Resultado Nominal'!H21</f>
        <v>-12654379.016651249</v>
      </c>
      <c r="F17" s="292"/>
      <c r="G17" s="290">
        <f t="shared" si="0"/>
        <v>-12173524.787543288</v>
      </c>
      <c r="H17" s="291"/>
      <c r="I17" s="114">
        <f>(E17/K29)*100</f>
        <v>-0.01707697365341185</v>
      </c>
      <c r="J17" s="290">
        <f>'Resultado Nominal'!I21</f>
        <v>-40229.746158656315</v>
      </c>
      <c r="K17" s="292"/>
      <c r="L17" s="293">
        <f t="shared" si="1"/>
        <v>-38682.448229477224</v>
      </c>
      <c r="M17" s="299"/>
      <c r="N17" s="114">
        <f>(J17/M29)*100</f>
        <v>-5.136914532165781E-05</v>
      </c>
      <c r="O17" s="290">
        <f>'Resultado Nominal'!J21</f>
        <v>-37421.80192350701</v>
      </c>
      <c r="P17" s="292"/>
      <c r="Q17" s="293">
        <f t="shared" si="2"/>
        <v>-36104.005714912695</v>
      </c>
      <c r="R17" s="299"/>
      <c r="S17" s="116" t="s">
        <v>227</v>
      </c>
    </row>
    <row r="18" spans="1:19" ht="12.75">
      <c r="A18" s="22" t="s">
        <v>119</v>
      </c>
      <c r="B18" s="3"/>
      <c r="C18" s="3"/>
      <c r="D18" s="3"/>
      <c r="E18" s="293">
        <f>'Resultado Nominal'!H10</f>
        <v>648016.2030487501</v>
      </c>
      <c r="F18" s="294"/>
      <c r="G18" s="290">
        <f t="shared" si="0"/>
        <v>623392.2107251083</v>
      </c>
      <c r="H18" s="291"/>
      <c r="I18" s="114">
        <f>(E18/K29)*100</f>
        <v>0.0008744921905599715</v>
      </c>
      <c r="J18" s="290">
        <f>'Resultado Nominal'!I10</f>
        <v>599414.9878200938</v>
      </c>
      <c r="K18" s="292"/>
      <c r="L18" s="293">
        <f t="shared" si="1"/>
        <v>576360.5652116286</v>
      </c>
      <c r="M18" s="299"/>
      <c r="N18" s="114">
        <f>(J18/M29)*100</f>
        <v>0.0007653897565218588</v>
      </c>
      <c r="O18" s="290">
        <f>'Resultado Nominal'!J10</f>
        <v>554458.8637335867</v>
      </c>
      <c r="P18" s="292"/>
      <c r="Q18" s="293">
        <f t="shared" si="2"/>
        <v>534933.7807366973</v>
      </c>
      <c r="R18" s="299"/>
      <c r="S18" s="114">
        <f>(Q18/O29)*100</f>
        <v>0.0006481845927887471</v>
      </c>
    </row>
    <row r="19" spans="1:19" ht="12.75">
      <c r="A19" s="23" t="s">
        <v>102</v>
      </c>
      <c r="B19" s="8"/>
      <c r="C19" s="8"/>
      <c r="D19" s="8"/>
      <c r="E19" s="302">
        <f>'Resultado Nominal'!H18</f>
        <v>564301.51234875</v>
      </c>
      <c r="F19" s="316"/>
      <c r="G19" s="304">
        <f t="shared" si="0"/>
        <v>542858.5977380952</v>
      </c>
      <c r="H19" s="313"/>
      <c r="I19" s="115">
        <f>(E19/K29)*100</f>
        <v>0.0007615199486501714</v>
      </c>
      <c r="J19" s="304">
        <f>'Resultado Nominal'!I18</f>
        <v>524071.7661900937</v>
      </c>
      <c r="K19" s="305"/>
      <c r="L19" s="302">
        <f t="shared" si="1"/>
        <v>503915.159798167</v>
      </c>
      <c r="M19" s="303"/>
      <c r="N19" s="115">
        <f>(J19/M29)*100</f>
        <v>0.0006691844042521786</v>
      </c>
      <c r="O19" s="304">
        <f>'Resultado Nominal'!J18</f>
        <v>486649.9642665867</v>
      </c>
      <c r="P19" s="305"/>
      <c r="Q19" s="302">
        <f t="shared" si="2"/>
        <v>469512.7489306191</v>
      </c>
      <c r="R19" s="303"/>
      <c r="S19" s="115">
        <f>(Q19/O29)*100</f>
        <v>0.0005689132766220181</v>
      </c>
    </row>
    <row r="21" ht="12.75">
      <c r="A21" t="s">
        <v>30</v>
      </c>
    </row>
    <row r="22" spans="1:15" ht="12.75">
      <c r="A22" s="176" t="s">
        <v>120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6"/>
    </row>
    <row r="24" spans="1:19" ht="12.75">
      <c r="A24" s="184" t="s">
        <v>121</v>
      </c>
      <c r="B24" s="211"/>
      <c r="C24" s="211"/>
      <c r="D24" s="211"/>
      <c r="E24" s="211"/>
      <c r="F24" s="211"/>
      <c r="G24" s="211"/>
      <c r="H24" s="211"/>
      <c r="I24" s="211"/>
      <c r="J24" s="185"/>
      <c r="K24" s="281">
        <v>2019</v>
      </c>
      <c r="L24" s="282"/>
      <c r="M24" s="281">
        <v>2020</v>
      </c>
      <c r="N24" s="282"/>
      <c r="O24" s="283">
        <v>2021</v>
      </c>
      <c r="P24" s="284"/>
      <c r="Q24" s="19"/>
      <c r="R24" s="19"/>
      <c r="S24" s="19"/>
    </row>
    <row r="25" spans="1:19" ht="12.75">
      <c r="A25" s="287" t="s">
        <v>122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76">
        <v>0.41</v>
      </c>
      <c r="L25" s="276"/>
      <c r="M25" s="276">
        <v>0.41</v>
      </c>
      <c r="N25" s="276"/>
      <c r="O25" s="276">
        <v>0.41</v>
      </c>
      <c r="P25" s="276"/>
      <c r="Q25" s="3"/>
      <c r="R25" s="3"/>
      <c r="S25" s="3"/>
    </row>
    <row r="26" spans="1:19" ht="12.75">
      <c r="A26" s="287" t="s">
        <v>123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76">
        <v>6.7</v>
      </c>
      <c r="L26" s="276"/>
      <c r="M26" s="276">
        <v>6.5</v>
      </c>
      <c r="N26" s="276"/>
      <c r="O26" s="276">
        <v>6</v>
      </c>
      <c r="P26" s="276"/>
      <c r="Q26" s="3"/>
      <c r="R26" s="3"/>
      <c r="S26" s="3"/>
    </row>
    <row r="27" spans="1:19" ht="12.75">
      <c r="A27" s="287" t="s">
        <v>124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76">
        <v>3.4</v>
      </c>
      <c r="L27" s="276"/>
      <c r="M27" s="276">
        <v>3.45</v>
      </c>
      <c r="N27" s="276"/>
      <c r="O27" s="276">
        <v>3.5</v>
      </c>
      <c r="P27" s="276"/>
      <c r="Q27" s="3"/>
      <c r="R27" s="3"/>
      <c r="S27" s="3"/>
    </row>
    <row r="28" spans="1:19" ht="12.75">
      <c r="A28" s="287" t="s">
        <v>125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76">
        <v>3.95</v>
      </c>
      <c r="L28" s="276"/>
      <c r="M28" s="276">
        <v>4</v>
      </c>
      <c r="N28" s="276"/>
      <c r="O28" s="276">
        <v>3.65</v>
      </c>
      <c r="P28" s="276"/>
      <c r="Q28" s="3"/>
      <c r="R28" s="3"/>
      <c r="S28" s="3"/>
    </row>
    <row r="29" spans="1:19" ht="12.75">
      <c r="A29" s="278" t="s">
        <v>264</v>
      </c>
      <c r="B29" s="279"/>
      <c r="C29" s="279"/>
      <c r="D29" s="279"/>
      <c r="E29" s="279"/>
      <c r="F29" s="279"/>
      <c r="G29" s="279"/>
      <c r="H29" s="279"/>
      <c r="I29" s="279"/>
      <c r="J29" s="280"/>
      <c r="K29" s="277">
        <v>74102000000</v>
      </c>
      <c r="L29" s="277"/>
      <c r="M29" s="277">
        <v>78315000000</v>
      </c>
      <c r="N29" s="277"/>
      <c r="O29" s="277">
        <v>82528000000</v>
      </c>
      <c r="P29" s="277"/>
      <c r="Q29" s="3"/>
      <c r="R29" s="3"/>
      <c r="S29" s="3"/>
    </row>
    <row r="31" ht="12.75">
      <c r="A31" t="s">
        <v>126</v>
      </c>
    </row>
    <row r="33" spans="1:9" ht="12.75">
      <c r="A33" s="285">
        <v>2019</v>
      </c>
      <c r="B33" s="285"/>
      <c r="C33" s="285"/>
      <c r="D33" s="285">
        <v>2020</v>
      </c>
      <c r="E33" s="285"/>
      <c r="F33" s="285"/>
      <c r="G33" s="285">
        <v>2021</v>
      </c>
      <c r="H33" s="285"/>
      <c r="I33" s="285"/>
    </row>
    <row r="34" spans="1:9" ht="12.75">
      <c r="A34" s="107" t="s">
        <v>265</v>
      </c>
      <c r="B34" s="108"/>
      <c r="C34" s="108"/>
      <c r="D34" s="107" t="s">
        <v>266</v>
      </c>
      <c r="E34" s="109"/>
      <c r="F34" s="110"/>
      <c r="G34" s="107" t="s">
        <v>267</v>
      </c>
      <c r="H34" s="108"/>
      <c r="I34" s="111"/>
    </row>
    <row r="36" spans="1:8" ht="12.75">
      <c r="A36" s="180" t="s">
        <v>268</v>
      </c>
      <c r="B36" s="176"/>
      <c r="C36" s="176"/>
      <c r="D36" s="176"/>
      <c r="E36" s="176"/>
      <c r="F36" s="176"/>
      <c r="G36" s="7"/>
      <c r="H36" t="s">
        <v>226</v>
      </c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ht="12.75">
      <c r="I39" s="80"/>
    </row>
    <row r="40" spans="1:19" ht="12.75">
      <c r="A40" s="286" t="s">
        <v>246</v>
      </c>
      <c r="B40" s="286"/>
      <c r="C40" s="286"/>
      <c r="D40" s="286"/>
      <c r="E40" s="286"/>
      <c r="F40" s="59"/>
      <c r="G40" s="59"/>
      <c r="H40" s="59"/>
      <c r="I40" s="59"/>
      <c r="J40" s="59"/>
      <c r="L40" s="174" t="s">
        <v>251</v>
      </c>
      <c r="M40" s="174"/>
      <c r="N40" s="174"/>
      <c r="O40" s="174"/>
      <c r="P40" s="174"/>
      <c r="Q40" s="174"/>
      <c r="R40" s="174"/>
      <c r="S40" s="174"/>
    </row>
    <row r="41" spans="1:19" ht="12.75">
      <c r="A41" s="183" t="s">
        <v>26</v>
      </c>
      <c r="B41" s="183"/>
      <c r="C41" s="183"/>
      <c r="D41" s="183"/>
      <c r="E41" s="175"/>
      <c r="F41" s="175"/>
      <c r="G41" s="175"/>
      <c r="H41" s="175"/>
      <c r="I41" s="175"/>
      <c r="J41" s="175"/>
      <c r="L41" s="175" t="s">
        <v>247</v>
      </c>
      <c r="M41" s="175"/>
      <c r="N41" s="175"/>
      <c r="O41" s="175"/>
      <c r="P41" s="175"/>
      <c r="Q41" s="175"/>
      <c r="R41" s="175"/>
      <c r="S41" s="175"/>
    </row>
  </sheetData>
  <sheetProtection/>
  <mergeCells count="110">
    <mergeCell ref="G10:H10"/>
    <mergeCell ref="E17:F17"/>
    <mergeCell ref="B4:L4"/>
    <mergeCell ref="E12:F12"/>
    <mergeCell ref="L10:M10"/>
    <mergeCell ref="E19:F19"/>
    <mergeCell ref="J15:K15"/>
    <mergeCell ref="L12:M12"/>
    <mergeCell ref="J12:K12"/>
    <mergeCell ref="L19:M19"/>
    <mergeCell ref="J11:K11"/>
    <mergeCell ref="J13:K13"/>
    <mergeCell ref="O12:P12"/>
    <mergeCell ref="A22:N22"/>
    <mergeCell ref="J19:K19"/>
    <mergeCell ref="G19:H19"/>
    <mergeCell ref="E15:F15"/>
    <mergeCell ref="E14:F14"/>
    <mergeCell ref="J14:K14"/>
    <mergeCell ref="O13:P13"/>
    <mergeCell ref="O10:P10"/>
    <mergeCell ref="O11:P11"/>
    <mergeCell ref="L9:M9"/>
    <mergeCell ref="J10:K10"/>
    <mergeCell ref="B1:I1"/>
    <mergeCell ref="E8:I8"/>
    <mergeCell ref="E10:F10"/>
    <mergeCell ref="J8:N8"/>
    <mergeCell ref="B2:F2"/>
    <mergeCell ref="A8:D11"/>
    <mergeCell ref="Q10:R10"/>
    <mergeCell ref="Q9:R9"/>
    <mergeCell ref="O8:S8"/>
    <mergeCell ref="J9:K9"/>
    <mergeCell ref="E9:F9"/>
    <mergeCell ref="B3:H3"/>
    <mergeCell ref="B5:H5"/>
    <mergeCell ref="B6:H6"/>
    <mergeCell ref="G9:H9"/>
    <mergeCell ref="O9:P9"/>
    <mergeCell ref="Q17:R17"/>
    <mergeCell ref="Q19:R19"/>
    <mergeCell ref="L18:M18"/>
    <mergeCell ref="O19:P19"/>
    <mergeCell ref="L13:M13"/>
    <mergeCell ref="L16:M16"/>
    <mergeCell ref="Q18:R18"/>
    <mergeCell ref="L15:M15"/>
    <mergeCell ref="Q15:R15"/>
    <mergeCell ref="Q14:R14"/>
    <mergeCell ref="O14:P14"/>
    <mergeCell ref="Q16:R16"/>
    <mergeCell ref="L14:M14"/>
    <mergeCell ref="Q12:R12"/>
    <mergeCell ref="Q13:R13"/>
    <mergeCell ref="O15:P15"/>
    <mergeCell ref="G18:H18"/>
    <mergeCell ref="G16:H16"/>
    <mergeCell ref="O17:P17"/>
    <mergeCell ref="O18:P18"/>
    <mergeCell ref="J17:K17"/>
    <mergeCell ref="J16:K16"/>
    <mergeCell ref="J18:K18"/>
    <mergeCell ref="L17:M17"/>
    <mergeCell ref="O16:P16"/>
    <mergeCell ref="G12:H12"/>
    <mergeCell ref="G13:H13"/>
    <mergeCell ref="E16:F16"/>
    <mergeCell ref="E18:F18"/>
    <mergeCell ref="G15:H15"/>
    <mergeCell ref="G11:H11"/>
    <mergeCell ref="E11:F11"/>
    <mergeCell ref="G14:H14"/>
    <mergeCell ref="G17:H17"/>
    <mergeCell ref="E13:F13"/>
    <mergeCell ref="A24:J24"/>
    <mergeCell ref="K28:L28"/>
    <mergeCell ref="K26:L26"/>
    <mergeCell ref="K24:L24"/>
    <mergeCell ref="K27:L27"/>
    <mergeCell ref="A27:J27"/>
    <mergeCell ref="A28:J28"/>
    <mergeCell ref="D33:F33"/>
    <mergeCell ref="A33:C33"/>
    <mergeCell ref="G33:I33"/>
    <mergeCell ref="A40:E40"/>
    <mergeCell ref="K25:L25"/>
    <mergeCell ref="M27:N27"/>
    <mergeCell ref="M25:N25"/>
    <mergeCell ref="A25:J25"/>
    <mergeCell ref="A26:J26"/>
    <mergeCell ref="O26:P26"/>
    <mergeCell ref="O28:P28"/>
    <mergeCell ref="L40:O40"/>
    <mergeCell ref="O27:P27"/>
    <mergeCell ref="M24:N24"/>
    <mergeCell ref="O24:P24"/>
    <mergeCell ref="P40:S40"/>
    <mergeCell ref="O25:P25"/>
    <mergeCell ref="M26:N26"/>
    <mergeCell ref="L41:O41"/>
    <mergeCell ref="P41:S41"/>
    <mergeCell ref="A41:D41"/>
    <mergeCell ref="E41:J41"/>
    <mergeCell ref="A36:F36"/>
    <mergeCell ref="M28:N28"/>
    <mergeCell ref="M29:N29"/>
    <mergeCell ref="A29:J29"/>
    <mergeCell ref="K29:L29"/>
    <mergeCell ref="O29:P2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FF"/>
  </sheetPr>
  <dimension ref="A1:M33"/>
  <sheetViews>
    <sheetView showGridLines="0" view="pageBreakPreview" zoomScaleSheetLayoutView="100" zoomScalePageLayoutView="0" workbookViewId="0" topLeftCell="A31">
      <selection activeCell="E30" sqref="E30"/>
    </sheetView>
  </sheetViews>
  <sheetFormatPr defaultColWidth="9.140625" defaultRowHeight="12.75"/>
  <cols>
    <col min="1" max="1" width="8.28125" style="0" customWidth="1"/>
    <col min="2" max="2" width="7.421875" style="0" customWidth="1"/>
    <col min="3" max="3" width="7.140625" style="0" customWidth="1"/>
    <col min="4" max="4" width="8.7109375" style="0" customWidth="1"/>
    <col min="5" max="5" width="8.00390625" style="0" customWidth="1"/>
    <col min="6" max="6" width="7.421875" style="0" bestFit="1" customWidth="1"/>
    <col min="7" max="7" width="11.7109375" style="0" customWidth="1"/>
    <col min="8" max="8" width="5.57421875" style="0" customWidth="1"/>
    <col min="9" max="9" width="8.140625" style="0" customWidth="1"/>
    <col min="10" max="10" width="7.140625" style="0" customWidth="1"/>
    <col min="11" max="11" width="5.00390625" style="0" customWidth="1"/>
    <col min="12" max="12" width="4.7109375" style="0" customWidth="1"/>
    <col min="13" max="13" width="9.00390625" style="0" customWidth="1"/>
  </cols>
  <sheetData>
    <row r="1" spans="2:9" ht="15.75">
      <c r="B1" s="173" t="s">
        <v>253</v>
      </c>
      <c r="C1" s="173"/>
      <c r="D1" s="173"/>
      <c r="E1" s="173"/>
      <c r="F1" s="173"/>
      <c r="G1" s="173"/>
      <c r="H1" s="173"/>
      <c r="I1" s="173"/>
    </row>
    <row r="2" spans="2:6" ht="12.75">
      <c r="B2" s="176" t="s">
        <v>21</v>
      </c>
      <c r="C2" s="176"/>
      <c r="D2" s="176"/>
      <c r="E2" s="176"/>
      <c r="F2" s="176"/>
    </row>
    <row r="3" spans="2:9" ht="12.75">
      <c r="B3" s="176" t="s">
        <v>22</v>
      </c>
      <c r="C3" s="176"/>
      <c r="D3" s="176"/>
      <c r="E3" s="176"/>
      <c r="F3" s="176"/>
      <c r="G3" s="176"/>
      <c r="H3" s="176"/>
      <c r="I3" s="6"/>
    </row>
    <row r="4" spans="2:12" ht="12.75">
      <c r="B4" s="176" t="s">
        <v>147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2:11" ht="12.75">
      <c r="B5" s="176" t="s">
        <v>128</v>
      </c>
      <c r="C5" s="176"/>
      <c r="D5" s="176"/>
      <c r="E5" s="176"/>
      <c r="F5" s="176"/>
      <c r="G5" s="176"/>
      <c r="H5" s="176"/>
      <c r="I5" s="176"/>
      <c r="J5" s="176"/>
      <c r="K5" s="176"/>
    </row>
    <row r="6" spans="2:9" ht="12.75">
      <c r="B6" s="176" t="s">
        <v>129</v>
      </c>
      <c r="C6" s="176"/>
      <c r="D6" s="176"/>
      <c r="E6" s="176"/>
      <c r="F6" s="176"/>
      <c r="G6" s="176"/>
      <c r="H6" s="176"/>
      <c r="I6" s="6"/>
    </row>
    <row r="8" spans="1:13" ht="12.75">
      <c r="A8" s="341" t="s">
        <v>0</v>
      </c>
      <c r="B8" s="342"/>
      <c r="C8" s="342"/>
      <c r="D8" s="325" t="s">
        <v>130</v>
      </c>
      <c r="E8" s="326"/>
      <c r="F8" s="342" t="s">
        <v>110</v>
      </c>
      <c r="G8" s="325" t="s">
        <v>131</v>
      </c>
      <c r="H8" s="326"/>
      <c r="I8" s="342" t="s">
        <v>110</v>
      </c>
      <c r="J8" s="338" t="s">
        <v>132</v>
      </c>
      <c r="K8" s="339"/>
      <c r="L8" s="339"/>
      <c r="M8" s="340"/>
    </row>
    <row r="9" spans="1:13" ht="12.75">
      <c r="A9" s="343"/>
      <c r="B9" s="344"/>
      <c r="C9" s="344"/>
      <c r="D9" s="322">
        <v>2017</v>
      </c>
      <c r="E9" s="347"/>
      <c r="F9" s="344"/>
      <c r="G9" s="322">
        <v>2017</v>
      </c>
      <c r="H9" s="347"/>
      <c r="I9" s="344"/>
      <c r="J9" s="322" t="s">
        <v>105</v>
      </c>
      <c r="K9" s="323"/>
      <c r="L9" s="325" t="s">
        <v>20</v>
      </c>
      <c r="M9" s="326"/>
    </row>
    <row r="10" spans="1:13" ht="12.75">
      <c r="A10" s="345"/>
      <c r="B10" s="346"/>
      <c r="C10" s="346"/>
      <c r="D10" s="322" t="s">
        <v>107</v>
      </c>
      <c r="E10" s="347"/>
      <c r="F10" s="346"/>
      <c r="G10" s="320" t="s">
        <v>89</v>
      </c>
      <c r="H10" s="321"/>
      <c r="I10" s="346"/>
      <c r="J10" s="320" t="s">
        <v>133</v>
      </c>
      <c r="K10" s="324"/>
      <c r="L10" s="320" t="s">
        <v>134</v>
      </c>
      <c r="M10" s="321"/>
    </row>
    <row r="11" spans="1:13" ht="12.75">
      <c r="A11" s="27" t="s">
        <v>113</v>
      </c>
      <c r="B11" s="28"/>
      <c r="C11" s="28"/>
      <c r="D11" s="333">
        <v>21570000</v>
      </c>
      <c r="E11" s="334"/>
      <c r="F11" s="64">
        <f>(D11/F25)*100</f>
        <v>0.03284304768865339</v>
      </c>
      <c r="G11" s="353">
        <f>'Resultado Primário'!G30</f>
        <v>15931086.030000001</v>
      </c>
      <c r="H11" s="355"/>
      <c r="I11" s="64">
        <f>F11</f>
        <v>0.03284304768865339</v>
      </c>
      <c r="J11" s="353">
        <f>G11-D11</f>
        <v>-5638913.969999999</v>
      </c>
      <c r="K11" s="354"/>
      <c r="L11" s="353">
        <f>J11</f>
        <v>-5638913.969999999</v>
      </c>
      <c r="M11" s="354"/>
    </row>
    <row r="12" spans="1:13" ht="12.75">
      <c r="A12" s="25" t="s">
        <v>114</v>
      </c>
      <c r="B12" s="29"/>
      <c r="C12" s="29"/>
      <c r="D12" s="335">
        <v>23850000</v>
      </c>
      <c r="E12" s="336"/>
      <c r="F12" s="64">
        <f>(D12/F25)*100</f>
        <v>0.036314635483281565</v>
      </c>
      <c r="G12" s="348">
        <f>'Resultado Primário'!G28</f>
        <v>15931086.030000001</v>
      </c>
      <c r="H12" s="349"/>
      <c r="I12" s="65">
        <f>F12</f>
        <v>0.036314635483281565</v>
      </c>
      <c r="J12" s="348">
        <f>G12-D12</f>
        <v>-7918913.969999999</v>
      </c>
      <c r="K12" s="349"/>
      <c r="L12" s="348">
        <f>J12</f>
        <v>-7918913.969999999</v>
      </c>
      <c r="M12" s="349"/>
    </row>
    <row r="13" spans="1:13" ht="12.75">
      <c r="A13" s="25" t="s">
        <v>115</v>
      </c>
      <c r="B13" s="29"/>
      <c r="C13" s="29"/>
      <c r="D13" s="335">
        <v>21570000</v>
      </c>
      <c r="E13" s="336"/>
      <c r="F13" s="64">
        <f>(D13/F25)*100</f>
        <v>0.03284304768865339</v>
      </c>
      <c r="G13" s="348">
        <f>'Resultado Primário'!G45</f>
        <v>15655077.069999998</v>
      </c>
      <c r="H13" s="349"/>
      <c r="I13" s="65">
        <f aca="true" t="shared" si="0" ref="I13:I18">F13</f>
        <v>0.03284304768865339</v>
      </c>
      <c r="J13" s="348">
        <f aca="true" t="shared" si="1" ref="J13:J18">G13-D13</f>
        <v>-5914922.930000002</v>
      </c>
      <c r="K13" s="349"/>
      <c r="L13" s="348">
        <f aca="true" t="shared" si="2" ref="L13:L18">J13</f>
        <v>-5914922.930000002</v>
      </c>
      <c r="M13" s="349"/>
    </row>
    <row r="14" spans="1:13" ht="12.75">
      <c r="A14" s="25" t="s">
        <v>116</v>
      </c>
      <c r="B14" s="29"/>
      <c r="C14" s="29"/>
      <c r="D14" s="335">
        <v>21406700</v>
      </c>
      <c r="E14" s="336"/>
      <c r="F14" s="64">
        <f>(D14/F25)*100</f>
        <v>0.032594402825994274</v>
      </c>
      <c r="G14" s="348">
        <f>'Resultado Primário'!G43</f>
        <v>15428839.95</v>
      </c>
      <c r="H14" s="350"/>
      <c r="I14" s="65">
        <f t="shared" si="0"/>
        <v>0.032594402825994274</v>
      </c>
      <c r="J14" s="348">
        <f t="shared" si="1"/>
        <v>-5977860.050000001</v>
      </c>
      <c r="K14" s="349"/>
      <c r="L14" s="348">
        <f t="shared" si="2"/>
        <v>-5977860.050000001</v>
      </c>
      <c r="M14" s="349"/>
    </row>
    <row r="15" spans="1:13" ht="12.75">
      <c r="A15" s="25" t="s">
        <v>152</v>
      </c>
      <c r="B15" s="29"/>
      <c r="C15" s="29"/>
      <c r="D15" s="335">
        <f>D12-D14</f>
        <v>2443300</v>
      </c>
      <c r="E15" s="336"/>
      <c r="F15" s="64">
        <f>(D15/F25)*100</f>
        <v>0.0037202326572872892</v>
      </c>
      <c r="G15" s="348">
        <f>G12-G14</f>
        <v>502246.08000000194</v>
      </c>
      <c r="H15" s="349"/>
      <c r="I15" s="65">
        <f t="shared" si="0"/>
        <v>0.0037202326572872892</v>
      </c>
      <c r="J15" s="348">
        <f t="shared" si="1"/>
        <v>-1941053.919999998</v>
      </c>
      <c r="K15" s="349"/>
      <c r="L15" s="348">
        <f t="shared" si="2"/>
        <v>-1941053.919999998</v>
      </c>
      <c r="M15" s="349"/>
    </row>
    <row r="16" spans="1:13" ht="12.75">
      <c r="A16" s="25" t="s">
        <v>118</v>
      </c>
      <c r="B16" s="29"/>
      <c r="C16" s="29"/>
      <c r="D16" s="335">
        <v>197312.06</v>
      </c>
      <c r="E16" s="336"/>
      <c r="F16" s="64">
        <v>0</v>
      </c>
      <c r="G16" s="348">
        <f>'Resultado Nominal'!F21</f>
        <v>961860.6199999973</v>
      </c>
      <c r="H16" s="349"/>
      <c r="I16" s="65">
        <f>F16</f>
        <v>0</v>
      </c>
      <c r="J16" s="348">
        <v>0</v>
      </c>
      <c r="K16" s="349"/>
      <c r="L16" s="348">
        <v>0</v>
      </c>
      <c r="M16" s="349"/>
    </row>
    <row r="17" spans="1:13" ht="12.75">
      <c r="A17" s="25" t="s">
        <v>119</v>
      </c>
      <c r="B17" s="29"/>
      <c r="C17" s="29"/>
      <c r="D17" s="335">
        <v>700558.06</v>
      </c>
      <c r="E17" s="336"/>
      <c r="F17" s="64">
        <f>D17/F25*100</f>
        <v>0.0010666880747914004</v>
      </c>
      <c r="G17" s="348">
        <f>'Resultado Nominal'!F10</f>
        <v>14790774.28</v>
      </c>
      <c r="H17" s="350"/>
      <c r="I17" s="65">
        <f t="shared" si="0"/>
        <v>0.0010666880747914004</v>
      </c>
      <c r="J17" s="348">
        <f t="shared" si="1"/>
        <v>14090216.219999999</v>
      </c>
      <c r="K17" s="349"/>
      <c r="L17" s="348">
        <f t="shared" si="2"/>
        <v>14090216.219999999</v>
      </c>
      <c r="M17" s="349"/>
    </row>
    <row r="18" spans="1:13" ht="12.75">
      <c r="A18" s="26" t="s">
        <v>102</v>
      </c>
      <c r="B18" s="30"/>
      <c r="C18" s="30"/>
      <c r="D18" s="331">
        <v>597206.59</v>
      </c>
      <c r="E18" s="332"/>
      <c r="F18" s="117">
        <f>D18/F25*10</f>
        <v>9.093224161032948E-05</v>
      </c>
      <c r="G18" s="351">
        <f>'Resultado Nominal'!F15</f>
        <v>14687422.809999999</v>
      </c>
      <c r="H18" s="352"/>
      <c r="I18" s="66">
        <f t="shared" si="0"/>
        <v>9.093224161032948E-05</v>
      </c>
      <c r="J18" s="351">
        <f t="shared" si="1"/>
        <v>14090216.219999999</v>
      </c>
      <c r="K18" s="352"/>
      <c r="L18" s="351">
        <f t="shared" si="2"/>
        <v>14090216.219999999</v>
      </c>
      <c r="M18" s="352"/>
    </row>
    <row r="19" spans="4:5" ht="12.75">
      <c r="D19" s="3"/>
      <c r="E19" s="3"/>
    </row>
    <row r="20" ht="12.75" customHeight="1">
      <c r="A20" s="31"/>
    </row>
    <row r="21" spans="1:8" ht="15" customHeight="1">
      <c r="A21" s="100" t="s">
        <v>271</v>
      </c>
      <c r="B21" s="12"/>
      <c r="C21" s="12"/>
      <c r="D21" s="12"/>
      <c r="E21" s="12"/>
      <c r="F21" s="12"/>
      <c r="G21" s="12"/>
      <c r="H21" s="101"/>
    </row>
    <row r="22" spans="1:8" ht="12.75">
      <c r="A22" s="12"/>
      <c r="B22" s="12"/>
      <c r="C22" s="12"/>
      <c r="D22" s="12"/>
      <c r="E22" s="12"/>
      <c r="F22" s="12"/>
      <c r="G22" s="12"/>
      <c r="H22" s="12"/>
    </row>
    <row r="23" spans="1:8" ht="12.75">
      <c r="A23" s="12"/>
      <c r="B23" s="12"/>
      <c r="C23" s="12"/>
      <c r="D23" s="12"/>
      <c r="E23" s="12"/>
      <c r="F23" s="12"/>
      <c r="G23" s="12"/>
      <c r="H23" s="12"/>
    </row>
    <row r="24" spans="1:8" ht="12.75">
      <c r="A24" s="337" t="s">
        <v>0</v>
      </c>
      <c r="B24" s="337"/>
      <c r="C24" s="337"/>
      <c r="D24" s="337"/>
      <c r="E24" s="337"/>
      <c r="F24" s="337" t="s">
        <v>135</v>
      </c>
      <c r="G24" s="337"/>
      <c r="H24" s="337"/>
    </row>
    <row r="25" spans="1:8" ht="12.75">
      <c r="A25" s="317" t="s">
        <v>269</v>
      </c>
      <c r="B25" s="318"/>
      <c r="C25" s="318"/>
      <c r="D25" s="318"/>
      <c r="E25" s="319"/>
      <c r="F25" s="327">
        <v>65676000000</v>
      </c>
      <c r="G25" s="328"/>
      <c r="H25" s="329"/>
    </row>
    <row r="26" spans="1:8" ht="12.75">
      <c r="A26" s="317" t="s">
        <v>270</v>
      </c>
      <c r="B26" s="318"/>
      <c r="C26" s="318"/>
      <c r="D26" s="318"/>
      <c r="E26" s="319"/>
      <c r="F26" s="330">
        <v>65676000000</v>
      </c>
      <c r="G26" s="330"/>
      <c r="H26" s="330"/>
    </row>
    <row r="28" spans="1:12" ht="12.75">
      <c r="A28" s="180" t="s">
        <v>277</v>
      </c>
      <c r="B28" s="176"/>
      <c r="C28" s="176"/>
      <c r="D28" s="176"/>
      <c r="E28" s="176"/>
      <c r="F28" s="176"/>
      <c r="G28" s="7"/>
      <c r="H28" s="183"/>
      <c r="I28" s="183"/>
      <c r="J28" s="183"/>
      <c r="K28" s="183"/>
      <c r="L28" s="183"/>
    </row>
    <row r="29" spans="8:12" ht="12.75">
      <c r="H29" s="183"/>
      <c r="I29" s="183"/>
      <c r="J29" s="183"/>
      <c r="K29" s="183"/>
      <c r="L29" s="183"/>
    </row>
    <row r="32" spans="1:13" ht="12.75">
      <c r="A32" s="174" t="s">
        <v>255</v>
      </c>
      <c r="B32" s="174"/>
      <c r="C32" s="174"/>
      <c r="D32" s="174"/>
      <c r="E32" s="174"/>
      <c r="F32" s="7"/>
      <c r="G32" s="174" t="s">
        <v>257</v>
      </c>
      <c r="H32" s="174"/>
      <c r="I32" s="174"/>
      <c r="J32" s="174"/>
      <c r="K32" s="174"/>
      <c r="L32" s="174"/>
      <c r="M32" s="174"/>
    </row>
    <row r="33" spans="1:13" ht="12.75">
      <c r="A33" s="183" t="s">
        <v>26</v>
      </c>
      <c r="B33" s="183"/>
      <c r="C33" s="183"/>
      <c r="D33" s="183"/>
      <c r="E33" s="7"/>
      <c r="F33" s="7"/>
      <c r="G33" s="175" t="s">
        <v>247</v>
      </c>
      <c r="H33" s="183"/>
      <c r="I33" s="183"/>
      <c r="J33" s="183"/>
      <c r="K33" s="183"/>
      <c r="L33" s="183"/>
      <c r="M33" s="183"/>
    </row>
  </sheetData>
  <sheetProtection/>
  <mergeCells count="64">
    <mergeCell ref="A32:E32"/>
    <mergeCell ref="A33:D33"/>
    <mergeCell ref="G32:M32"/>
    <mergeCell ref="G33:M33"/>
    <mergeCell ref="L15:M15"/>
    <mergeCell ref="L16:M16"/>
    <mergeCell ref="L17:M17"/>
    <mergeCell ref="L18:M18"/>
    <mergeCell ref="J17:K17"/>
    <mergeCell ref="G17:H17"/>
    <mergeCell ref="G18:H18"/>
    <mergeCell ref="G11:H11"/>
    <mergeCell ref="L11:M11"/>
    <mergeCell ref="L12:M12"/>
    <mergeCell ref="L13:M13"/>
    <mergeCell ref="L14:M14"/>
    <mergeCell ref="J15:K15"/>
    <mergeCell ref="J16:K16"/>
    <mergeCell ref="D15:E15"/>
    <mergeCell ref="D16:E16"/>
    <mergeCell ref="D17:E17"/>
    <mergeCell ref="J18:K18"/>
    <mergeCell ref="J11:K11"/>
    <mergeCell ref="J12:K12"/>
    <mergeCell ref="J13:K13"/>
    <mergeCell ref="J14:K14"/>
    <mergeCell ref="G15:H15"/>
    <mergeCell ref="G16:H16"/>
    <mergeCell ref="I8:I10"/>
    <mergeCell ref="G8:H8"/>
    <mergeCell ref="G9:H9"/>
    <mergeCell ref="G12:H12"/>
    <mergeCell ref="G13:H13"/>
    <mergeCell ref="G14:H14"/>
    <mergeCell ref="B1:I1"/>
    <mergeCell ref="B6:H6"/>
    <mergeCell ref="D8:E8"/>
    <mergeCell ref="J8:M8"/>
    <mergeCell ref="A8:C10"/>
    <mergeCell ref="D9:E9"/>
    <mergeCell ref="D10:E10"/>
    <mergeCell ref="B2:F2"/>
    <mergeCell ref="B5:K5"/>
    <mergeCell ref="F8:F10"/>
    <mergeCell ref="F26:H26"/>
    <mergeCell ref="B3:H3"/>
    <mergeCell ref="B4:L4"/>
    <mergeCell ref="D18:E18"/>
    <mergeCell ref="D11:E11"/>
    <mergeCell ref="D12:E12"/>
    <mergeCell ref="D13:E13"/>
    <mergeCell ref="D14:E14"/>
    <mergeCell ref="A24:E24"/>
    <mergeCell ref="F24:H24"/>
    <mergeCell ref="A28:F28"/>
    <mergeCell ref="A26:E26"/>
    <mergeCell ref="H28:L29"/>
    <mergeCell ref="G10:H10"/>
    <mergeCell ref="J9:K9"/>
    <mergeCell ref="J10:K10"/>
    <mergeCell ref="L9:M9"/>
    <mergeCell ref="L10:M10"/>
    <mergeCell ref="A25:E25"/>
    <mergeCell ref="F25:H2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contamax</dc:creator>
  <cp:keywords/>
  <dc:description/>
  <cp:lastModifiedBy>Conta Max RN 06</cp:lastModifiedBy>
  <cp:lastPrinted>2019-05-22T15:00:58Z</cp:lastPrinted>
  <dcterms:created xsi:type="dcterms:W3CDTF">2005-06-06T14:08:27Z</dcterms:created>
  <dcterms:modified xsi:type="dcterms:W3CDTF">2019-05-22T15:01:07Z</dcterms:modified>
  <cp:category/>
  <cp:version/>
  <cp:contentType/>
  <cp:contentStatus/>
</cp:coreProperties>
</file>